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15" windowWidth="12720" windowHeight="12405" tabRatio="795" firstSheet="11" activeTab="15"/>
  </bookViews>
  <sheets>
    <sheet name="Начало" sheetId="3" r:id="rId1"/>
    <sheet name="Теория" sheetId="4" r:id="rId2"/>
    <sheet name="Brix &gt; SG" sheetId="37" r:id="rId3"/>
    <sheet name="Пивоварите" sheetId="34" r:id="rId4"/>
    <sheet name="Вайцен" sheetId="13" r:id="rId5"/>
    <sheet name="Раух" sheetId="14" r:id="rId6"/>
    <sheet name="в8 Компромат" sheetId="15" r:id="rId7"/>
    <sheet name="в9 Yassno Pivo " sheetId="22" r:id="rId8"/>
    <sheet name="в10 wit bier" sheetId="23" r:id="rId9"/>
    <sheet name="в11 wit bier" sheetId="25" r:id="rId10"/>
    <sheet name="в12 Компромат 5kg" sheetId="27" r:id="rId11"/>
    <sheet name="в13 Раух" sheetId="28" r:id="rId12"/>
    <sheet name="в14 Dunkelweizen" sheetId="31" r:id="rId13"/>
    <sheet name="в15 Staut" sheetId="36" r:id="rId14"/>
    <sheet name="Sheet1" sheetId="33" r:id="rId15"/>
    <sheet name="в16 Saison" sheetId="38" r:id="rId16"/>
    <sheet name="Hefeweizen" sheetId="40" r:id="rId17"/>
    <sheet name="Irish Red" sheetId="39" r:id="rId18"/>
  </sheets>
  <definedNames>
    <definedName name="Excel_BuiltIn_Print_Area_1" localSheetId="2">'Brix &gt; SG'!$B$1:$H$25</definedName>
    <definedName name="Excel_BuiltIn_Print_Area_1" localSheetId="16">Hefeweizen!$B$86:$H$106</definedName>
    <definedName name="Excel_BuiltIn_Print_Area_1" localSheetId="17">'Irish Red'!$B$90:$H$110</definedName>
    <definedName name="Excel_BuiltIn_Print_Area_1" localSheetId="15">'в16 Saison'!$B$89:$H$109</definedName>
    <definedName name="Excel_BuiltIn_Print_Area_1">'в15 Staut'!$B$90:$H$110</definedName>
    <definedName name="_xlnm.Print_Area" localSheetId="16">Hefeweizen!$A$28:$E$57</definedName>
    <definedName name="_xlnm.Print_Area" localSheetId="17">'Irish Red'!$A$32:$E$62</definedName>
    <definedName name="_xlnm.Print_Area" localSheetId="8">'в10 wit bier'!$A$30:$E$59</definedName>
    <definedName name="_xlnm.Print_Area" localSheetId="9">'в11 wit bier'!$A$31:$E$58</definedName>
    <definedName name="_xlnm.Print_Area" localSheetId="10">'в12 Компромат 5kg'!$A$30:$E$60</definedName>
    <definedName name="_xlnm.Print_Area" localSheetId="11">'в13 Раух'!$A$33:$E$73</definedName>
    <definedName name="_xlnm.Print_Area" localSheetId="12">'в14 Dunkelweizen'!$A$31:$E$64</definedName>
    <definedName name="_xlnm.Print_Area" localSheetId="15">'в16 Saison'!$A$31:$E$61</definedName>
    <definedName name="_xlnm.Print_Area" localSheetId="6">'в8 Компромат'!$B$33:$F$63</definedName>
    <definedName name="_xlnm.Print_Area" localSheetId="7">'в9 Yassno Pivo '!$B$30:$F$52</definedName>
    <definedName name="_xlnm.Print_Area" localSheetId="4">Вайцен!$B$1:$F$69</definedName>
    <definedName name="_xlnm.Print_Area" localSheetId="5">Раух!$B$22:$F$51</definedName>
  </definedNames>
  <calcPr calcId="144525"/>
</workbook>
</file>

<file path=xl/calcChain.xml><?xml version="1.0" encoding="utf-8"?>
<calcChain xmlns="http://schemas.openxmlformats.org/spreadsheetml/2006/main">
  <c r="B56" i="38"/>
  <c r="B52" i="40"/>
  <c r="B49" i="38" l="1"/>
  <c r="B50"/>
  <c r="F18"/>
  <c r="B48"/>
  <c r="E49"/>
  <c r="B51" i="39"/>
  <c r="E51"/>
  <c r="E33" i="40"/>
  <c r="F102"/>
  <c r="E102"/>
  <c r="F101"/>
  <c r="E101"/>
  <c r="F100"/>
  <c r="E100"/>
  <c r="F99"/>
  <c r="E99"/>
  <c r="F98"/>
  <c r="E98"/>
  <c r="F96"/>
  <c r="E96"/>
  <c r="F95"/>
  <c r="E95"/>
  <c r="F93"/>
  <c r="E93"/>
  <c r="F92"/>
  <c r="E92"/>
  <c r="E90"/>
  <c r="E97"/>
  <c r="F97"/>
  <c r="E83"/>
  <c r="E84"/>
  <c r="E77"/>
  <c r="E76"/>
  <c r="E75"/>
  <c r="E72"/>
  <c r="E71"/>
  <c r="E68"/>
  <c r="E67"/>
  <c r="E61"/>
  <c r="E49"/>
  <c r="E63"/>
  <c r="E47"/>
  <c r="E46"/>
  <c r="B46"/>
  <c r="E35"/>
  <c r="E34"/>
  <c r="E32"/>
  <c r="D31"/>
  <c r="C31"/>
  <c r="B28"/>
  <c r="F22"/>
  <c r="D21"/>
  <c r="F21"/>
  <c r="F19"/>
  <c r="G13"/>
  <c r="C12"/>
  <c r="F12"/>
  <c r="C11"/>
  <c r="F11"/>
  <c r="E4"/>
  <c r="F4"/>
  <c r="D20"/>
  <c r="F20"/>
  <c r="D4"/>
  <c r="C46"/>
  <c r="F106" i="39"/>
  <c r="E106"/>
  <c r="F105"/>
  <c r="E105"/>
  <c r="F104"/>
  <c r="E104"/>
  <c r="F103"/>
  <c r="E103"/>
  <c r="F102"/>
  <c r="E102"/>
  <c r="F100"/>
  <c r="E100"/>
  <c r="F99"/>
  <c r="E99"/>
  <c r="F97"/>
  <c r="E97"/>
  <c r="F96"/>
  <c r="E96"/>
  <c r="E94"/>
  <c r="E101"/>
  <c r="F101"/>
  <c r="E87"/>
  <c r="E88"/>
  <c r="E81"/>
  <c r="E80"/>
  <c r="E79"/>
  <c r="E76"/>
  <c r="E75"/>
  <c r="E72"/>
  <c r="E71"/>
  <c r="E65"/>
  <c r="E54"/>
  <c r="E67"/>
  <c r="E52"/>
  <c r="E49"/>
  <c r="B50"/>
  <c r="B49"/>
  <c r="E38"/>
  <c r="E37"/>
  <c r="E36"/>
  <c r="D35"/>
  <c r="C35"/>
  <c r="B32"/>
  <c r="F26"/>
  <c r="D25"/>
  <c r="F25"/>
  <c r="F22"/>
  <c r="G16"/>
  <c r="C15"/>
  <c r="F15"/>
  <c r="C14"/>
  <c r="F14"/>
  <c r="C13"/>
  <c r="F13"/>
  <c r="C12"/>
  <c r="F12"/>
  <c r="C11"/>
  <c r="F11"/>
  <c r="E4"/>
  <c r="F4"/>
  <c r="D24"/>
  <c r="F24"/>
  <c r="D4"/>
  <c r="C49"/>
  <c r="F105" i="38"/>
  <c r="E105"/>
  <c r="F104"/>
  <c r="E104"/>
  <c r="F103"/>
  <c r="E103"/>
  <c r="F102"/>
  <c r="E102"/>
  <c r="F101"/>
  <c r="E101"/>
  <c r="F99"/>
  <c r="E99"/>
  <c r="F98"/>
  <c r="E98"/>
  <c r="F96"/>
  <c r="E96"/>
  <c r="F95"/>
  <c r="E95"/>
  <c r="E93"/>
  <c r="E100"/>
  <c r="F100"/>
  <c r="E86"/>
  <c r="E87"/>
  <c r="E80"/>
  <c r="E79"/>
  <c r="E78"/>
  <c r="E75"/>
  <c r="E74"/>
  <c r="E71"/>
  <c r="E70"/>
  <c r="E64"/>
  <c r="E53"/>
  <c r="E66"/>
  <c r="E51"/>
  <c r="E48"/>
  <c r="E37"/>
  <c r="E36"/>
  <c r="E35"/>
  <c r="D33"/>
  <c r="C33"/>
  <c r="B31"/>
  <c r="F25"/>
  <c r="D24"/>
  <c r="F24" s="1"/>
  <c r="F21"/>
  <c r="G14"/>
  <c r="C13"/>
  <c r="F13" s="1"/>
  <c r="C12"/>
  <c r="F12" s="1"/>
  <c r="C11"/>
  <c r="F11" s="1"/>
  <c r="E4"/>
  <c r="F4" s="1"/>
  <c r="D23" s="1"/>
  <c r="F23" s="1"/>
  <c r="D4"/>
  <c r="C48" s="1"/>
  <c r="D17" s="1"/>
  <c r="F17" s="1"/>
  <c r="E33"/>
  <c r="C51" i="39"/>
  <c r="E35"/>
  <c r="E31" i="40"/>
  <c r="E74"/>
  <c r="E94"/>
  <c r="F94"/>
  <c r="E78" i="39"/>
  <c r="E50"/>
  <c r="E98"/>
  <c r="F98"/>
  <c r="C50"/>
  <c r="D19"/>
  <c r="F19"/>
  <c r="C7"/>
  <c r="D7"/>
  <c r="E77" i="38"/>
  <c r="E97"/>
  <c r="F97"/>
  <c r="E50"/>
  <c r="E94" i="36"/>
  <c r="E87"/>
  <c r="E88"/>
  <c r="E81"/>
  <c r="E80"/>
  <c r="E79"/>
  <c r="E76"/>
  <c r="E75"/>
  <c r="E72"/>
  <c r="E71"/>
  <c r="E52"/>
  <c r="E67"/>
  <c r="E65"/>
  <c r="E58"/>
  <c r="E50"/>
  <c r="E49"/>
  <c r="B49"/>
  <c r="E48"/>
  <c r="B48"/>
  <c r="E47"/>
  <c r="B47"/>
  <c r="E36"/>
  <c r="E35"/>
  <c r="E34"/>
  <c r="D33"/>
  <c r="C33"/>
  <c r="E33"/>
  <c r="B31"/>
  <c r="F25"/>
  <c r="D24"/>
  <c r="F24"/>
  <c r="F22"/>
  <c r="G16"/>
  <c r="C15"/>
  <c r="F15"/>
  <c r="C14"/>
  <c r="F14"/>
  <c r="C13"/>
  <c r="F13"/>
  <c r="C12"/>
  <c r="F12"/>
  <c r="C11"/>
  <c r="F11"/>
  <c r="E4"/>
  <c r="F4"/>
  <c r="D23"/>
  <c r="F23"/>
  <c r="D4"/>
  <c r="C49"/>
  <c r="G21" i="37"/>
  <c r="F21"/>
  <c r="G20"/>
  <c r="F20"/>
  <c r="G19"/>
  <c r="F19"/>
  <c r="G18"/>
  <c r="F18"/>
  <c r="G17"/>
  <c r="F17"/>
  <c r="G16"/>
  <c r="F16"/>
  <c r="G15"/>
  <c r="F15"/>
  <c r="G14"/>
  <c r="F14"/>
  <c r="G13"/>
  <c r="F13"/>
  <c r="G12"/>
  <c r="F12"/>
  <c r="F11"/>
  <c r="G11"/>
  <c r="F106" i="36"/>
  <c r="E106"/>
  <c r="F105"/>
  <c r="E105"/>
  <c r="F104"/>
  <c r="E104"/>
  <c r="F103"/>
  <c r="E103"/>
  <c r="F102"/>
  <c r="E102"/>
  <c r="E101"/>
  <c r="F101"/>
  <c r="F100"/>
  <c r="E100"/>
  <c r="F99"/>
  <c r="E99"/>
  <c r="E98"/>
  <c r="F98"/>
  <c r="F97"/>
  <c r="E97"/>
  <c r="E96"/>
  <c r="F96"/>
  <c r="D16" i="40"/>
  <c r="F16"/>
  <c r="C7"/>
  <c r="D7"/>
  <c r="E78" i="36"/>
  <c r="C48"/>
  <c r="C47"/>
  <c r="B33" i="28"/>
  <c r="B31" i="31"/>
  <c r="D19" i="36"/>
  <c r="F19"/>
  <c r="C7"/>
  <c r="D7"/>
  <c r="E37" i="28"/>
  <c r="E38"/>
  <c r="E35" i="31"/>
  <c r="E63"/>
  <c r="E81"/>
  <c r="D4"/>
  <c r="E4"/>
  <c r="G56"/>
  <c r="D33"/>
  <c r="B70" i="28"/>
  <c r="E70"/>
  <c r="F24" i="31"/>
  <c r="B46"/>
  <c r="B47"/>
  <c r="G15"/>
  <c r="F4"/>
  <c r="E5" i="27"/>
  <c r="F5"/>
  <c r="D21"/>
  <c r="F21"/>
  <c r="D5"/>
  <c r="C14" i="31"/>
  <c r="F14"/>
  <c r="C13"/>
  <c r="F13"/>
  <c r="C12"/>
  <c r="F12"/>
  <c r="C11"/>
  <c r="F11"/>
  <c r="C118"/>
  <c r="C120"/>
  <c r="E92"/>
  <c r="E91"/>
  <c r="E79"/>
  <c r="E78"/>
  <c r="E77"/>
  <c r="E74"/>
  <c r="E73"/>
  <c r="E70"/>
  <c r="E83"/>
  <c r="E69"/>
  <c r="E50"/>
  <c r="E48"/>
  <c r="E36"/>
  <c r="E34"/>
  <c r="C33"/>
  <c r="E33"/>
  <c r="F25"/>
  <c r="D23"/>
  <c r="F23"/>
  <c r="F21"/>
  <c r="E66" i="28"/>
  <c r="E72"/>
  <c r="E54"/>
  <c r="C47" i="31"/>
  <c r="C46"/>
  <c r="E76"/>
  <c r="E47"/>
  <c r="E46"/>
  <c r="D32" i="27"/>
  <c r="C18" i="31"/>
  <c r="F18"/>
  <c r="D22"/>
  <c r="F22"/>
  <c r="E39" i="28"/>
  <c r="F23" i="27"/>
  <c r="F26" i="28"/>
  <c r="D5"/>
  <c r="E5"/>
  <c r="F5"/>
  <c r="E77"/>
  <c r="B49" i="27"/>
  <c r="B48"/>
  <c r="B47"/>
  <c r="F23" i="28"/>
  <c r="D35"/>
  <c r="C15"/>
  <c r="F15"/>
  <c r="C124"/>
  <c r="C126"/>
  <c r="E98"/>
  <c r="E97"/>
  <c r="E96"/>
  <c r="E93"/>
  <c r="E92"/>
  <c r="E89"/>
  <c r="E88"/>
  <c r="E85"/>
  <c r="E84"/>
  <c r="E76"/>
  <c r="E52"/>
  <c r="E51"/>
  <c r="B51"/>
  <c r="C35"/>
  <c r="D25"/>
  <c r="F25"/>
  <c r="C14"/>
  <c r="F14"/>
  <c r="C13"/>
  <c r="F13"/>
  <c r="C12"/>
  <c r="F12"/>
  <c r="D8"/>
  <c r="E76" i="27"/>
  <c r="E75"/>
  <c r="E87"/>
  <c r="E72"/>
  <c r="E71"/>
  <c r="E88"/>
  <c r="E50"/>
  <c r="E49"/>
  <c r="E35"/>
  <c r="E36"/>
  <c r="E34"/>
  <c r="E65"/>
  <c r="E52"/>
  <c r="E67"/>
  <c r="F20"/>
  <c r="C114"/>
  <c r="C116"/>
  <c r="E81"/>
  <c r="E80"/>
  <c r="E79"/>
  <c r="B46"/>
  <c r="C32"/>
  <c r="E32"/>
  <c r="D22"/>
  <c r="F22"/>
  <c r="C13"/>
  <c r="F13"/>
  <c r="C12"/>
  <c r="F12"/>
  <c r="E35" i="28"/>
  <c r="E95"/>
  <c r="E48" i="27"/>
  <c r="E46"/>
  <c r="E47"/>
  <c r="D61" i="3"/>
  <c r="F5" i="15"/>
  <c r="C16" i="27"/>
  <c r="C46"/>
  <c r="C47"/>
  <c r="C48"/>
  <c r="C49"/>
  <c r="C19" i="28"/>
  <c r="F19"/>
  <c r="C18"/>
  <c r="F18"/>
  <c r="D24"/>
  <c r="F24"/>
  <c r="C20"/>
  <c r="F20"/>
  <c r="F28" i="25"/>
  <c r="C70" i="28"/>
  <c r="C51"/>
  <c r="E5" i="25"/>
  <c r="C109"/>
  <c r="C111"/>
  <c r="E44"/>
  <c r="E80"/>
  <c r="E76"/>
  <c r="E49"/>
  <c r="E82"/>
  <c r="D5"/>
  <c r="C16"/>
  <c r="E78"/>
  <c r="E77"/>
  <c r="E75"/>
  <c r="E73"/>
  <c r="E72"/>
  <c r="E69"/>
  <c r="E68"/>
  <c r="E64"/>
  <c r="E65"/>
  <c r="B53"/>
  <c r="B52"/>
  <c r="E48"/>
  <c r="E47"/>
  <c r="B47"/>
  <c r="E39"/>
  <c r="E38"/>
  <c r="E37"/>
  <c r="D33"/>
  <c r="C33"/>
  <c r="E33"/>
  <c r="D23"/>
  <c r="F23"/>
  <c r="F19"/>
  <c r="C13"/>
  <c r="F13"/>
  <c r="C12"/>
  <c r="F12"/>
  <c r="E5" i="23"/>
  <c r="D21" i="25"/>
  <c r="E53"/>
  <c r="D22"/>
  <c r="F22"/>
  <c r="E74" i="23"/>
  <c r="E73"/>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E78"/>
  <c r="E77"/>
  <c r="E79"/>
  <c r="E76"/>
  <c r="B55"/>
  <c r="B54"/>
  <c r="D34"/>
  <c r="F5"/>
  <c r="E70"/>
  <c r="E69"/>
  <c r="E65"/>
  <c r="E66"/>
  <c r="E50"/>
  <c r="E49"/>
  <c r="B49"/>
  <c r="E41"/>
  <c r="E40"/>
  <c r="E39"/>
  <c r="C34"/>
  <c r="E34"/>
  <c r="D23"/>
  <c r="F23"/>
  <c r="F19"/>
  <c r="C13"/>
  <c r="F13"/>
  <c r="C12"/>
  <c r="F12"/>
  <c r="D5"/>
  <c r="C16"/>
  <c r="C49"/>
  <c r="D21"/>
  <c r="E55"/>
  <c r="D20"/>
  <c r="E54"/>
  <c r="F16"/>
  <c r="F5" i="22"/>
  <c r="E31"/>
  <c r="D31"/>
  <c r="E5"/>
  <c r="F44"/>
  <c r="F43"/>
  <c r="D14"/>
  <c r="G14"/>
  <c r="D13"/>
  <c r="G13"/>
  <c r="D12"/>
  <c r="G12"/>
  <c r="F72"/>
  <c r="F71"/>
  <c r="F70"/>
  <c r="F67"/>
  <c r="F66"/>
  <c r="F63"/>
  <c r="F62"/>
  <c r="F58"/>
  <c r="F59"/>
  <c r="C43"/>
  <c r="F35"/>
  <c r="F34"/>
  <c r="F33"/>
  <c r="G23"/>
  <c r="E22"/>
  <c r="G22"/>
  <c r="F37" i="15"/>
  <c r="G5" i="22"/>
  <c r="G20"/>
  <c r="F31"/>
  <c r="F69"/>
  <c r="D17"/>
  <c r="D13" i="15"/>
  <c r="G13"/>
  <c r="E21" i="22"/>
  <c r="G17"/>
  <c r="D43"/>
  <c r="C53" i="15"/>
  <c r="C52"/>
  <c r="G26"/>
  <c r="C49"/>
  <c r="C51"/>
  <c r="E5"/>
  <c r="D19"/>
  <c r="D18"/>
  <c r="G18"/>
  <c r="E35"/>
  <c r="F39"/>
  <c r="F38"/>
  <c r="F54"/>
  <c r="F52"/>
  <c r="F53"/>
  <c r="F49"/>
  <c r="F82"/>
  <c r="F81"/>
  <c r="E25"/>
  <c r="G25"/>
  <c r="D35"/>
  <c r="F77"/>
  <c r="F83"/>
  <c r="F78"/>
  <c r="D12"/>
  <c r="D14"/>
  <c r="F74"/>
  <c r="G5"/>
  <c r="E24"/>
  <c r="G24"/>
  <c r="L5" i="14"/>
  <c r="M5"/>
  <c r="D17" i="15"/>
  <c r="F69"/>
  <c r="F70"/>
  <c r="F73"/>
  <c r="G22"/>
  <c r="G14"/>
  <c r="G12"/>
  <c r="G17"/>
  <c r="D49"/>
  <c r="D51"/>
  <c r="E72" i="14"/>
  <c r="E69"/>
  <c r="E75"/>
  <c r="E64"/>
  <c r="E67"/>
  <c r="H13"/>
  <c r="E4" i="13"/>
  <c r="F22"/>
  <c r="F37"/>
  <c r="F38"/>
  <c r="F36"/>
  <c r="E34"/>
  <c r="D34"/>
  <c r="H10"/>
  <c r="E5"/>
  <c r="H5"/>
  <c r="E7"/>
  <c r="H7"/>
  <c r="F61"/>
  <c r="H11"/>
  <c r="E6"/>
  <c r="L5"/>
  <c r="M5"/>
  <c r="N5"/>
  <c r="K5"/>
  <c r="F25"/>
  <c r="H4"/>
  <c r="K5" i="14"/>
  <c r="H19"/>
  <c r="E5"/>
  <c r="H5"/>
  <c r="E7"/>
  <c r="H7"/>
  <c r="E4"/>
  <c r="H4"/>
  <c r="E6"/>
  <c r="H6"/>
  <c r="E10"/>
  <c r="H10"/>
  <c r="E12"/>
  <c r="H12"/>
  <c r="H11"/>
  <c r="N5"/>
  <c r="H20"/>
  <c r="F25"/>
  <c r="D8" i="22"/>
  <c r="E8"/>
  <c r="G8"/>
  <c r="F34" i="13"/>
  <c r="C8" i="23"/>
  <c r="D8"/>
  <c r="F80" i="15"/>
  <c r="C86" i="4"/>
  <c r="C85"/>
  <c r="F51" i="15"/>
  <c r="F16" i="27"/>
  <c r="C17"/>
  <c r="F17"/>
  <c r="E78"/>
  <c r="F35" i="15"/>
  <c r="C8" i="28"/>
  <c r="J11" i="14"/>
  <c r="K11"/>
  <c r="M11"/>
  <c r="N11"/>
  <c r="J9" i="13"/>
  <c r="K9"/>
  <c r="M9"/>
  <c r="N9"/>
  <c r="G19" i="15"/>
  <c r="D8"/>
  <c r="E8"/>
  <c r="G8"/>
  <c r="D52"/>
  <c r="F8" i="23"/>
  <c r="C47" i="25"/>
  <c r="F16"/>
  <c r="C8"/>
  <c r="D8"/>
  <c r="C8" i="27"/>
  <c r="D8"/>
  <c r="C7" i="31"/>
  <c r="D7"/>
  <c r="D22" i="23"/>
  <c r="C7" i="38" l="1"/>
  <c r="D7" s="1"/>
  <c r="C50"/>
  <c r="D22" s="1"/>
  <c r="C49"/>
  <c r="D18" s="1"/>
</calcChain>
</file>

<file path=xl/comments1.xml><?xml version="1.0" encoding="utf-8"?>
<comments xmlns="http://schemas.openxmlformats.org/spreadsheetml/2006/main">
  <authors>
    <author>Author</author>
  </authors>
  <commentList>
    <comment ref="D95" authorId="0">
      <text>
        <r>
          <rPr>
            <b/>
            <sz val="9"/>
            <color indexed="81"/>
            <rFont val="Tahoma"/>
            <family val="2"/>
            <charset val="204"/>
          </rPr>
          <t>не променяй ако имаш рефрактомер с ATC</t>
        </r>
      </text>
    </comment>
    <comment ref="E95" authorId="0">
      <text>
        <r>
          <rPr>
            <b/>
            <sz val="9"/>
            <color indexed="81"/>
            <rFont val="Tahoma"/>
            <family val="2"/>
            <charset val="204"/>
          </rPr>
          <t>настроени вследствие ефекта от етанола и темп.</t>
        </r>
      </text>
    </comment>
    <comment ref="F95" authorId="0">
      <text>
        <r>
          <rPr>
            <b/>
            <sz val="9"/>
            <color indexed="81"/>
            <rFont val="Tahoma"/>
            <family val="2"/>
            <charset val="204"/>
          </rPr>
          <t>настроени вследствие ефекта от етанола и температурата</t>
        </r>
      </text>
    </comment>
  </commentList>
</comments>
</file>

<file path=xl/comments2.xml><?xml version="1.0" encoding="utf-8"?>
<comments xmlns="http://schemas.openxmlformats.org/spreadsheetml/2006/main">
  <authors>
    <author>Author</author>
  </authors>
  <commentList>
    <comment ref="D94" authorId="0">
      <text>
        <r>
          <rPr>
            <b/>
            <sz val="9"/>
            <color indexed="81"/>
            <rFont val="Tahoma"/>
            <family val="2"/>
            <charset val="204"/>
          </rPr>
          <t>не променяй ако имаш рефрактомер с ATC</t>
        </r>
      </text>
    </comment>
    <comment ref="E94" authorId="0">
      <text>
        <r>
          <rPr>
            <b/>
            <sz val="9"/>
            <color indexed="81"/>
            <rFont val="Tahoma"/>
            <family val="2"/>
            <charset val="204"/>
          </rPr>
          <t>настроени вследствие ефекта от етанола и темп.</t>
        </r>
      </text>
    </comment>
    <comment ref="F94" authorId="0">
      <text>
        <r>
          <rPr>
            <b/>
            <sz val="9"/>
            <color indexed="81"/>
            <rFont val="Tahoma"/>
            <family val="2"/>
            <charset val="204"/>
          </rPr>
          <t>настроени вследствие ефекта от етанола и температурата</t>
        </r>
      </text>
    </comment>
  </commentList>
</comments>
</file>

<file path=xl/comments3.xml><?xml version="1.0" encoding="utf-8"?>
<comments xmlns="http://schemas.openxmlformats.org/spreadsheetml/2006/main">
  <authors>
    <author>Author</author>
  </authors>
  <commentList>
    <comment ref="D91" authorId="0">
      <text>
        <r>
          <rPr>
            <b/>
            <sz val="9"/>
            <color indexed="81"/>
            <rFont val="Tahoma"/>
            <family val="2"/>
            <charset val="204"/>
          </rPr>
          <t>не променяй ако имаш рефрактомер с ATC</t>
        </r>
      </text>
    </comment>
    <comment ref="E91" authorId="0">
      <text>
        <r>
          <rPr>
            <b/>
            <sz val="9"/>
            <color indexed="81"/>
            <rFont val="Tahoma"/>
            <family val="2"/>
            <charset val="204"/>
          </rPr>
          <t>настроени вследствие ефекта от етанола и темп.</t>
        </r>
      </text>
    </comment>
    <comment ref="F91" authorId="0">
      <text>
        <r>
          <rPr>
            <b/>
            <sz val="9"/>
            <color indexed="81"/>
            <rFont val="Tahoma"/>
            <family val="2"/>
            <charset val="204"/>
          </rPr>
          <t>настроени вследствие ефекта от етанола и температурата</t>
        </r>
      </text>
    </comment>
  </commentList>
</comments>
</file>

<file path=xl/comments4.xml><?xml version="1.0" encoding="utf-8"?>
<comments xmlns="http://schemas.openxmlformats.org/spreadsheetml/2006/main">
  <authors>
    <author>Author</author>
  </authors>
  <commentList>
    <comment ref="D95" authorId="0">
      <text>
        <r>
          <rPr>
            <b/>
            <sz val="9"/>
            <color indexed="81"/>
            <rFont val="Tahoma"/>
            <family val="2"/>
            <charset val="204"/>
          </rPr>
          <t>не променяй ако имаш рефрактомер с ATC</t>
        </r>
      </text>
    </comment>
    <comment ref="E95" authorId="0">
      <text>
        <r>
          <rPr>
            <b/>
            <sz val="9"/>
            <color indexed="81"/>
            <rFont val="Tahoma"/>
            <family val="2"/>
            <charset val="204"/>
          </rPr>
          <t>настроени вследствие ефекта от етанола и темп.</t>
        </r>
      </text>
    </comment>
    <comment ref="F95" authorId="0">
      <text>
        <r>
          <rPr>
            <b/>
            <sz val="9"/>
            <color indexed="81"/>
            <rFont val="Tahoma"/>
            <family val="2"/>
            <charset val="204"/>
          </rPr>
          <t>настроени вследствие ефекта от етанола и температурата</t>
        </r>
      </text>
    </comment>
  </commentList>
</comments>
</file>

<file path=xl/sharedStrings.xml><?xml version="1.0" encoding="utf-8"?>
<sst xmlns="http://schemas.openxmlformats.org/spreadsheetml/2006/main" count="1993" uniqueCount="807">
  <si>
    <t>Стартер</t>
  </si>
  <si>
    <t>Аз стартерите ги правя по един и същ начин винаги - някъде по средата на охлаждането си сипвам около 100 мл вода направо от чешмата, слагам 1-2 ч.л захар и разбърквам да се разтвори захарта. След това бухам дрождите вътре, като ги разбърквам за да се смесят с водата добре. Като приключи охладжането (~25*) слагам и малко мъст, но общо взето до тогава дрождите са започнали да се пенят от кеф заради захарта. Малко варки имам, че да давам статистика, но поне за сега не съм имал проблеми с ферментацията.</t>
  </si>
  <si>
    <r>
      <rPr>
        <sz val="7"/>
        <color theme="1"/>
        <rFont val="Times New Roman"/>
        <family val="1"/>
        <charset val="204"/>
      </rPr>
      <t xml:space="preserve"> </t>
    </r>
    <r>
      <rPr>
        <sz val="11"/>
        <color theme="1"/>
        <rFont val="Calibri"/>
        <family val="2"/>
        <charset val="204"/>
        <scheme val="minor"/>
      </rPr>
      <t>Книга: "Домашна бира ? - Това е лесно !"</t>
    </r>
  </si>
  <si>
    <t xml:space="preserve">Тенджера (казан) дълбока 30 на 30 см - 21л </t>
  </si>
  <si>
    <r>
      <rPr>
        <sz val="7"/>
        <color theme="1"/>
        <rFont val="Times New Roman"/>
        <family val="1"/>
        <charset val="204"/>
      </rPr>
      <t xml:space="preserve"> </t>
    </r>
    <r>
      <rPr>
        <sz val="11"/>
        <color theme="1"/>
        <rFont val="Calibri"/>
        <family val="2"/>
        <charset val="204"/>
        <scheme val="minor"/>
      </rPr>
      <t>Електронен термометър за храни</t>
    </r>
  </si>
  <si>
    <r>
      <rPr>
        <sz val="7"/>
        <color theme="1"/>
        <rFont val="Times New Roman"/>
        <family val="1"/>
        <charset val="204"/>
      </rPr>
      <t xml:space="preserve"> </t>
    </r>
    <r>
      <rPr>
        <sz val="11"/>
        <color theme="1"/>
        <rFont val="Calibri"/>
        <family val="2"/>
        <charset val="204"/>
        <scheme val="minor"/>
      </rPr>
      <t>Кофи 2бр х 4,50лв</t>
    </r>
  </si>
  <si>
    <t>Канелка ½</t>
  </si>
  <si>
    <t>Тръба с Al вложка, скоби, уплътнители</t>
  </si>
  <si>
    <t>Водоустойчиво лепило</t>
  </si>
  <si>
    <r>
      <rPr>
        <sz val="7"/>
        <color theme="1"/>
        <rFont val="Times New Roman"/>
        <family val="1"/>
        <charset val="204"/>
      </rPr>
      <t xml:space="preserve"> </t>
    </r>
    <r>
      <rPr>
        <sz val="11"/>
        <color theme="1"/>
        <rFont val="Calibri"/>
        <family val="2"/>
        <charset val="204"/>
        <scheme val="minor"/>
      </rPr>
      <t>Йодна тинктура</t>
    </r>
  </si>
  <si>
    <t>Капачки – 100 бр</t>
  </si>
  <si>
    <t>Затварачка</t>
  </si>
  <si>
    <t>Маркучю, фитинги скоби</t>
  </si>
  <si>
    <t>Бързовар</t>
  </si>
  <si>
    <t>Канелка за преливането</t>
  </si>
  <si>
    <t>Тензух</t>
  </si>
  <si>
    <t xml:space="preserve">
Това със захарта отдавна не съм го правил (ползвам пивна мъст от предишни варки от фризера), но все пак си мисля, че е по-удачен вариант от влагане на сухи дрожди директно във ферментатора. А температурната разлика винаги гледам да е минимална.
</t>
  </si>
  <si>
    <t>Дебелите бумаги препоръчват нещо около 7-8% да е стартерната плътност.
Например - препоръчва се внасяне на стартерната култура да става при минимална разлика в температурите на стартера и основната мъст. Препоръчва се тази разлика да не е над 10гр. Целзий.
Особено ако става дума за 10гр. надолу.
Вливането на топъл стартер в студена мъст може да доведе до флокулиране и падане в утайка на дрождите, вместо да започнат размножение. След това вече става проблемно вдигането им от дъното - разбъркване, стопляне, аериране и т.н.
Давам пресен пример - в неделя варнах едно американско пшенично, докато вървеше варката и после охлаждането и т.н. започнах стартер с около 40 гр. дрожди в 2-3л. мъст извадена от средата на прецеждането (8% Плато) с темп. около 25гр. която падаше постоянно до около 18 когато стартера вече се пенеше. Дрождите са Нотингам, а целта ми е да ги тествам в реални условия за нискотемпературна ферментация.
На следващия ден - вчера, при околна темп. около 12гр. извлякох бистрата пивна мъст от казана , която все още беше топла около 25гр. , но не я заквасих веднага, а първо добавих още два литра от нея в стартера и така неговата темп. се вдигна малко, а през времето за ново развитие главната пивна мъст се охлади до около 15-16гр.
Следобеда вече заквасих със стартера, като установих че температурите им са почти еднакви.
В момента ферментацията е в разгара си при темп. в бидона 15.5гр. при околна 12 !
Надявам се още малко да падне ферментационната температура и да завърши на 12гр. в края на седмицата.</t>
  </si>
  <si>
    <r>
      <t xml:space="preserve">охлажда се до 30 </t>
    </r>
    <r>
      <rPr>
        <sz val="11"/>
        <color theme="1"/>
        <rFont val="Calibri"/>
        <family val="2"/>
        <charset val="204"/>
      </rPr>
      <t>°</t>
    </r>
    <r>
      <rPr>
        <sz val="11"/>
        <color theme="1"/>
        <rFont val="Calibri"/>
        <family val="2"/>
        <scheme val="minor"/>
      </rPr>
      <t>С</t>
    </r>
  </si>
  <si>
    <t>В стерилен съд се кипва 8% захарен сироп или бирена мъст (от преди, във фризера)</t>
  </si>
  <si>
    <t>Колега, редовно заквасвам 40л. с 11 грама нотингам и винаги си е било ок</t>
  </si>
  <si>
    <t>Това дето си го направил не е стартер, а просто леко активиране на дрождите. За стартер трябва поне 8 часа да се размножат добре. Т.е. от това дето си направил полза има, но не и в брой клетки.
Тъй че затова ти е бавна ферментацията, защото имаш недозасяване.</t>
  </si>
  <si>
    <t>Инвестиция:</t>
  </si>
  <si>
    <t>Заквасване</t>
  </si>
  <si>
    <t>И без воден клапан може, само един станиол от кухненско фолио и туй то.
Можеш да съдиш за ферментацията по пяната и по миризмата - нашъхваш си носа вътре и ако те накара да се дръпнеш веднага - значи има отделяне на ЦО2.
Индикатор за края на ферментацията е падането на екстракта - слезе ли до 3% за ейлове от около 11-12 начален - значи е готово.
Колкото е по-висок началният екстракт, толкова и по-висок краен може да се очаква. Например за Барли уайн с над 22% начален - крайният е около 6-7.
За лагерни бири може да се очаква малко по-малък краен - 2.5 от 12 примерно, но пак зависи и от дрождите и от начина на озахаряване.
Относно първия опит на всеки начинаещ бих посъветвал да не се правят паузи, а едно просто еднотемпературно озахаряване на около 65 гр. и маш-аут на 77-78 гр. И да се прави първи опит с най-прост светъл малц и дрожди с голям толеранс в температурата - Нотингам или S33.
Имаше случаи на хора желаещи да започнат пивоваренето с лагер - колкото съм успял съм ги разубедил. Лагерното пиво си има тънкости и не е за човек, който няма и една бира зад гърба си. Но рано или късно всеки стига и до него.
Напред, и наздраве.
(Цветът на бирата може да се оцени най-добре в чашата. Във всеки друг етап е различен - озахаряване, промиване, варене, ферментация, в малка или в голяма бутилка, зелена или кафява и т.н.)+</t>
  </si>
  <si>
    <t>капачки</t>
  </si>
  <si>
    <t>дезинфекция</t>
  </si>
  <si>
    <t>мелене</t>
  </si>
  <si>
    <t>По-малко караарома, повече карапилс и всичко ще е 6+ :)
Карапилса подобрява много пяната - задържане, залепване по стъклото.
Текстурата на пяната (да прилича на дунапрен) зависи от отлежаването.
Ще видиш че образците по нова година няма да ти се сторят слабо газирани точно заради по-доброто разтваряне на въглеродния двуокис при отлежаването.</t>
  </si>
  <si>
    <t>Торба за гравитачно прецеждане 10л</t>
  </si>
  <si>
    <t>Казан 100л</t>
  </si>
  <si>
    <t>Котлон 9kW</t>
  </si>
  <si>
    <t>Фуния</t>
  </si>
  <si>
    <t>Винтил за газ,  маркуч</t>
  </si>
  <si>
    <t>Хмел - затворен плътно и на тъмно и студено. По възможност вакуумиран. Може и във фризер.
Дрожди - затворени плътно без влага и в хладилник, но не и фризер. С всеки месец съхранение им пада по малко броя живи клетки, но един лек стартер и всичко е наред.
И аз съм правил бира с дрожди от повече година след срока на годност и то в отворено пакетче в хладилник. Бях го затворил с кламер.
Ирландския мъх - няма някакви особени изисквания, стига да няма влага. Има го в различни видове - към днешна дата в електронния магазин е във вид на оригиналното водорасло, наречено ирландски мъх. Даже мирише на риба :)
Прилага се в доза около 5гр. за 20л. вряща бирена мъст.
Преди беше в два други вида - извлечен карагенан във вид на бял прах или на дребни като пясък частици. В този вид се прилага в още по-малка доза - грам на 100л.
Дрождева суспензия не може да се съхранява дълго, но все пак до месец в хладилник няма проблем. За по-големите фенове има вариант да се смеси 50/50 с глицерин и да се замрази във фризер, но със сигурност после ще трябва да се прави стартер и да се определя брой витални клетки на мл. суспензия, за да се определи количеството за заквасване.</t>
  </si>
  <si>
    <t>В brewersfiend.com има калкулатор за дрожди - можеш да избереш източник - суспензия.
Според мен не намалявай количеството, даже го увеличи.
Стартер само със захар без никакъв малцов екстракт не увеличава броя клетки ! (за справка - braukaiser, обаче в момента сайта му е нещо неработещ)</t>
  </si>
  <si>
    <t>И още - колкото повече хмел за аромат слагаш - толкова по-добре се цеди ! А с хмел на листа - още по-добре.
(За да няма много белтъци - може да се прави незадължителната протеинова пауза, но все пак трябва да се мисли и за пяната - прекаленото разграждане на белтъците води до слаба и с лошо задържане пяна)</t>
  </si>
  <si>
    <t>MAGNUM - Немски горчив хмел</t>
  </si>
  <si>
    <t xml:space="preserve"> каси</t>
  </si>
  <si>
    <t xml:space="preserve"> бутилки</t>
  </si>
  <si>
    <t>SAAZ  хмел Жатец</t>
  </si>
  <si>
    <t>цена</t>
  </si>
  <si>
    <t>кг</t>
  </si>
  <si>
    <t>доставка на материали</t>
  </si>
  <si>
    <t>от</t>
  </si>
  <si>
    <t>до</t>
  </si>
  <si>
    <t>бутилката</t>
  </si>
  <si>
    <t>за продан</t>
  </si>
  <si>
    <t>инвестиция</t>
  </si>
  <si>
    <t>йодна проба - без никаква промяна в цвета</t>
  </si>
  <si>
    <t xml:space="preserve">
(Понятието brewhouse efficiency е друго - това е практическата екстрактивност рзделена на теоретичната и се движи от 80 до 95 %)
Ако беше изпарил по-малко вода щеше да имаш - 9.4л. на 12% екстракт (при търсени 10л.) - което си е съвсем добре.</t>
  </si>
  <si>
    <t>Прецездане и изливане във ферментатора - трябва да е поне 3/4 пълен</t>
  </si>
  <si>
    <t>филтър за вода</t>
  </si>
  <si>
    <t>газ 1/2 бутилка</t>
  </si>
  <si>
    <t>Включване на нагревателя, запечатване</t>
  </si>
  <si>
    <t>Заквасване с вода от бунара?</t>
  </si>
  <si>
    <t>На чучура се поставя отвътре марля и тогава започва пълненето</t>
  </si>
  <si>
    <t>Каква е крайната плътност след края на първичната ферментация</t>
  </si>
  <si>
    <r>
      <rPr>
        <b/>
        <sz val="11"/>
        <color theme="1"/>
        <rFont val="Calibri"/>
        <family val="2"/>
        <charset val="204"/>
        <scheme val="minor"/>
      </rPr>
      <t>Eкстрактивност</t>
    </r>
    <r>
      <rPr>
        <sz val="11"/>
        <color theme="1"/>
        <rFont val="Calibri"/>
        <family val="2"/>
        <charset val="204"/>
        <scheme val="minor"/>
      </rPr>
      <t xml:space="preserve">
8л с 16% са около 8*0.16=1.28кг. малцов екстракт.
При 2кг. малц и извлечен от него 1.28 кг. екстракт имаш практическа екстрактивност 1.28/2=64% което е точно в златната среда на домашното пивоварене. Като сложим факторите - първа варка, малък обем и т.н. - може да се каже, че си даже перфектен.
Аз съм достигал до малко над 72% практическа екстрактивност, но след много бавно прецеждане, след дълго варене и най-вече след изцеждане на всякакви утайки до дупка. Теоретичната екстрактивност е различна за всеки малц и се движи от 78 до 82%, но се доближават до нея само в големите инсталация, където се мели с 6 валцови мелници, ползва се специален филтър-преса (майш филтър), процесите са оптимизирани до дупка и всичко се следи с компютър, водата се подготвя предварително до последната молекула едва ли не - йонообменни смоли, специални добавки и т.н.
Според мен практическа екстрактивност на домашен пивовар над 75% не е възможна, но кой знае ...
(Понятието brewhouse efficiency е друго - това е практическата екстрактивност рзделена на теоретичната и се движи от 80 до 95 %)
Ако беше изпарил по-малко вода щеше да имаш - 9.4л. на 12% екстракт (при търсени 10л.) - което си е съвсем добре.
Сега си следи ферментацията и се радвай на "песента" на водния клапан. И не се кахъри когато той замлъкне след няколко дена, а може и след ден.
Изчакай да замлъкне съвсем (да речем 7-8 дена след заквасването) и изнеси на студено за ден два, или направо бутилирай с добавка на 7гр. захар на литър (56 грама общо), дръж на стайна темп за седмица, после - седмица на студ и я почвай. А като се увериш че първата е добре, покани няколко приятели да се похвалиш и я изпийте с кеф.
Малц има ...
Ще се вари пак.</t>
    </r>
  </si>
  <si>
    <t xml:space="preserve">Реална екстрактивност в проценти = (Процент Плато * литри пивна мъст във фермантора) / кг. </t>
  </si>
  <si>
    <t>Пример :
Изкарали сме 20л. пивна мъст с 12% Плато екстракт от 4.2кг. малц.
екстрактивност = 12*20/4.2 = 57%
Малко е, но е в границите на приемливото за домашен пивовар.
Или : 
Изкарали сме 25л. пивна мъст с 11.2% екстракт от същите 4.2кг. малц :
екстрактивност в проценти = 11.2 * 25 / 4.2 = 66.7%
В този случай имаме по-добра екстрактивност, макар и с повече вода и по-голямо разреждане (11.2% вместо 12%, но 25 - вместо 20л.)
Тъй че на въпроса - защо ми е малко екстракта - по-добре да се провери дали екстрактивността е в рамките на 60-70% и ако е там - проблем няма, просто е използвана повечко вода и се е разредила пивната мъст, но няма загуба на екстракт.
Само да не получи някой екстрактивност над 80% , че няма да му повярвам</t>
  </si>
  <si>
    <t>Колко е захарността преди варенето</t>
  </si>
  <si>
    <t>Изчисляване: Алк. в об % = (нач. екстракт - краен екстракт) * 0,52</t>
  </si>
  <si>
    <t>Бутилиране</t>
  </si>
  <si>
    <t>Газиращият елемент се сипва във ферментатора, (разграфен по литри) разбърквам  и изчаквам 15 мин да се успокои.</t>
  </si>
  <si>
    <r>
      <t xml:space="preserve">Тиха ферментация </t>
    </r>
    <r>
      <rPr>
        <sz val="11"/>
        <color theme="1"/>
        <rFont val="Calibri"/>
        <family val="2"/>
        <charset val="204"/>
        <scheme val="minor"/>
      </rPr>
      <t xml:space="preserve">(бутилкова доферментация) 15-20 </t>
    </r>
    <r>
      <rPr>
        <sz val="11"/>
        <color theme="1"/>
        <rFont val="Calibri"/>
        <family val="2"/>
        <charset val="204"/>
      </rPr>
      <t>°</t>
    </r>
    <r>
      <rPr>
        <sz val="12.65"/>
        <color theme="1"/>
        <rFont val="Calibri"/>
        <family val="2"/>
        <charset val="204"/>
      </rPr>
      <t>С</t>
    </r>
  </si>
  <si>
    <t>1д</t>
  </si>
  <si>
    <t>Сипва се по стената на шишето да не се пени</t>
  </si>
  <si>
    <t>За по-добро избистряне се прави двустепенна ферментация :
1. една седмица в първия ферментор, после се откалява (прехвърля се бистрото над утайката) в друг ферментор
2. още една седмица във втория - където почти няма признаци на ферментация, бирата пуска една тънка бяла утайка - това са дрождите.
3. Пълни се в бутилки и стандартно се добавя захар под някаква форма, но сега вече имаме много малко дрождеви клетки и за някои дрожди е почти невъзможно да газират бирата (Safale S04 са такива), та може да се наложи да се добавят няколко прашинки дрожди от друг тип (Safbrew S 33) koito da gazirat.
Този похват е удобен ако ще се прави принудителна газировка в кег чрез бутилката CO2 на разливната инсталация.
Така в кега няма ферментация и съответно утайка, бирата е бистра почти като филтрираната.
Методът крие и много рискове за заразяване !
Аз веднъж си развалих един амбър така - на първата седмица беше перфектен, после в другия бидон вкисна.
И оттогава - на ден 7-ми бутилирам. Мътна немътна - по-добре да е здрава.</t>
  </si>
  <si>
    <t xml:space="preserve">
И още един аспект на практическото пивоварене, който също научих от собствен горчив опит :
Варете шибаната пивна мъст яко !
Не видите ли да бълбука и да прави ключ - нищо не сте сварили.
Колкото и да ви се струва невероятно именно недостатъчно силното врене разваля след това бирите.
Причината е в недоброто коагулиране на белтъците.
(За което има и още едно подпомагащо средство - карагенана или ирландския мъх)
Недобре коагулиралите белтъци после остават разтворени в бирата и започват да я вкисват.
Първата седмица е добра, на втората вече се усеща киселина, а след третата не се пие.
На последната си варка си изолирах казана с минерална вата така както го правя когато в него дестилирам алкохол и варката беше изключително бурна.
Засега резултатната бира не проявява признаци на вкисване.</t>
  </si>
  <si>
    <t>Дезинфекция на шишетата</t>
  </si>
  <si>
    <t>Количество мъст за карбонизация</t>
  </si>
  <si>
    <t>Измерена захарност на отделената мъст в % P</t>
  </si>
  <si>
    <t>Еквивалент на кристална захар в грамове за литър мъст</t>
  </si>
  <si>
    <t>Количество ферментирала пивна мъст за карбонизация в литри</t>
  </si>
  <si>
    <t>Желано количество захар за литър,в грамове</t>
  </si>
  <si>
    <t>Необходимо количество неферментирала мъст в литри</t>
  </si>
  <si>
    <t xml:space="preserve">Нагревател за рибки Aqua El </t>
  </si>
  <si>
    <t>Нагревател за рибки Интер ексзотик груп</t>
  </si>
  <si>
    <t>Кофи 58л, 3бр</t>
  </si>
  <si>
    <t>Колена фитинги</t>
  </si>
  <si>
    <t>Охладител</t>
  </si>
  <si>
    <t>Поставяне на мрежа за покриване на леглото от малц с маркер за нивото на водата, водата да е поне 5 см над леглото. Водата за промивне се подава с помпа от пералня</t>
  </si>
  <si>
    <t>Охлаждане до 23 гр с вода от бунара??</t>
  </si>
  <si>
    <r>
      <t xml:space="preserve">Колко е  </t>
    </r>
    <r>
      <rPr>
        <b/>
        <sz val="11"/>
        <color theme="1"/>
        <rFont val="Calibri"/>
        <family val="2"/>
        <charset val="204"/>
        <scheme val="minor"/>
      </rPr>
      <t>начална плътност</t>
    </r>
    <r>
      <rPr>
        <sz val="11"/>
        <color theme="1"/>
        <rFont val="Calibri"/>
        <family val="2"/>
        <charset val="204"/>
        <scheme val="minor"/>
      </rPr>
      <t xml:space="preserve"> след охлаждане и преди заквасване</t>
    </r>
  </si>
  <si>
    <t>Размесване на 50 °С</t>
  </si>
  <si>
    <t>Главно озахаряване: 62 °С и плавно вдигане до 67 °С</t>
  </si>
  <si>
    <t>Колко гр. е сладката пивна мъст, първите л. при прецеждането</t>
  </si>
  <si>
    <t>Промитата мъст тече директно в казана, като задъни, започва подгряването</t>
  </si>
  <si>
    <t>Варене и охмеляване</t>
  </si>
  <si>
    <t>Раух малц Вайерман</t>
  </si>
  <si>
    <t>1гр/л</t>
  </si>
  <si>
    <t xml:space="preserve">15 мин </t>
  </si>
  <si>
    <t>Pale Ale Malt (Светъл малц) - Best Malt- Германия</t>
  </si>
  <si>
    <t>печ. на бр</t>
  </si>
  <si>
    <t>малц</t>
  </si>
  <si>
    <t>мъст</t>
  </si>
  <si>
    <t>бира</t>
  </si>
  <si>
    <t>нетна печ.</t>
  </si>
  <si>
    <t>озахар.</t>
  </si>
  <si>
    <t>промив.</t>
  </si>
  <si>
    <t>общо</t>
  </si>
  <si>
    <t>1.</t>
  </si>
  <si>
    <t>2.</t>
  </si>
  <si>
    <t>3.</t>
  </si>
  <si>
    <t>4.</t>
  </si>
  <si>
    <t>5.</t>
  </si>
  <si>
    <t>На отлежаване се поддават добре само силни бири - високо екстрактни, високо хмелни. Подразбира се и че ще са и високо алкохолни.
Вижте срока на отлежаване за барли уайн и имперските стаути.
Причината е проста - по време на отлежаването се подобряват някои вкусови характеристики, но се влошава аромата на хмела, горчивината също спада заради процеси на редукция на алфа горчивите киселини.
За окислителните процеси да не говорим - и малкото кислород в бутилката рано или късно влиза в тях.
За мен всеки стил бира си има оптимален период на отлежаване.
Най-кратък е за вайцените - клони към 0 :)
Следват леки ейлове, после по-тежките.
Лагерите заради по-бавните процеси в тях може да се сторят подходящи за отлежаване, но не са. Единствено Октоберфест и Мерцен отлежават по 6м. по простата причина че както е видно от имената - се правят през март, а се пият на Октоберфеста. (През лятото не се е правела бира заради високите температури)
Е, силните и тъмни лагери биха били склонни да отлежават до не повече от година, но масовият лагер си губи от аромата и свежестта определено.
Някъде из нета бях чел за направен експеримент от известен домашен пивовар и любител с две много силни бири - да ги задържи с по още една година и резултатът беше лош.
Появяват се шери-аромати и вкусове (окисление), хмелът избледнява като усещане и във вкуса и в аромата и т.н.
Аз също съм имал забравени бутилки на по над година в мазето. Или правеха гашинг, или не - но в общия случай не са били по-добри от преди забравянето.
В момента има барли уайн от септември, което още не е бутилирано - стои си в една туба 10л. от мин.вода. Само от време на време изпускам по малко налягане.
Тепърва ще го бутилирам и газирам бутилково.
После ще видим кога ще се пие.</t>
  </si>
  <si>
    <t xml:space="preserve">Карапилса е направен за да внесе малко карамелен и малцов тон в светлите бири. Всяка по-тъмна бира няма нужда от него, защото тя си съдържа така или иначе друг карамелен малц.
Пяната е другото което подобрява карапилса, но за вайцени не е нужен, там добрата пяна се дължи на пшеничния малц и няма какво повече да й се подобрява.
За дункел вайцен според мен освен пилс + пшеница трябва малко карамюних и малко карафа. </t>
  </si>
  <si>
    <t>А между другото се срещат рецепти с магнум, защото той няма специфичен аромат, а и се ползва предимно за вгорчаване в началото на варенето.
Важното е този, който консумира продукта да е доволен. В случая Раджев казва, че му е по вкуса. :)
Виж ако е за конкурс, то тогава е добре да се вписва максимално в рамките на изискванията.</t>
  </si>
  <si>
    <t>Вайс</t>
  </si>
  <si>
    <t>Аз си направих експеримент в последната лагерна бира да ползвам отворен пакет Цитра за горчив , а за ароматичен - Сладек.
И както очаквах - сега след края на ферментацията и лагеруването - Цитрата изобщо не се усеща.
Има един тарикатлък - как да се оползотворява и горчивината и аромата на хмеловете :
Правиш примерно последователни варки през една седмица :
1. В края на бурната ферментация слагаш в торбичка тензух порция ароматен хмел и така му се извлича аромата (сухо охмеляване).
2. След бутилирането торбичката с ползвания за сухо хмел се замразява или веднага се влага в следваща варка като горчива порция. Там пък й се оползотворяват алфа-киселините, а липсата на аромат не е фатална, понеже заради дългото врене той така или иначе се губи.
Този похват го прилагат всички Крафт-пивовари хем да пестят хмел, хем да им е ароматна бирата.
Много удачни за това са американските хмелове, защото за хем силно горчиви, хем силно ароматни.
Но не всеки стил позволява сухо охмеляване, американските стилове предимно са дащни в това отношение.</t>
  </si>
  <si>
    <t>Освен това трябва да се изчака да се утаят "парцалите" - товаса коагулиралите белтъци от които искаме да се оттървем. Всеки бърза да прецеди и да се оттърве, но греши.
Трябва да се остави всичко така за около час поне да се утаи добре, после само изваждаш бистрото отгоре без да го цедиш, а като стигнеш до мътилката долу вече е останало не повече от 20%, което за 15-20л. варка е 3-4 литра. Вземаш един тензух на 2 ката или торбата от магазина и го сипваш вътре наведнъж. Закачаш го да се прецежда и си гледаш работата. След още 30-тина мин. до час то само се е отцедило и от тебе се иска да изхвърлиш само това в торбата. През това време може да си подготвиш дрождите, даже и да заквасиш първо източеното, а другото да се добави после.
Аз в студеното време даже правя така - заквасвам основното и другото го цедя чак на другия ден, когато вече имаме бурна ферментация. Добавям го понякога и след ден още.
Но когато е топло не става - не чака само :)</t>
  </si>
  <si>
    <t xml:space="preserve">CARAMUNICH® TYPE 2 </t>
  </si>
  <si>
    <t>CARAFA® Special Type 1</t>
  </si>
  <si>
    <t>Munich - пшенични, насипни 11гр.</t>
  </si>
  <si>
    <t>Магнум - Немски горчив хмел</t>
  </si>
  <si>
    <t>SAAZ (Чешки типичен) хмел Жатец 2014г.</t>
  </si>
  <si>
    <t>0,5гр/л</t>
  </si>
  <si>
    <t>С-04 имат един къде проблем, къде предимство, зависи от гледната точка :
Много бързо ферментират и падат в утайка, отделно че тя е лепкава и стои твърдо за дъното.
Това хем избистря бирата добре, хем създава проблем на младите пивовари - особено ако са поудължили времето за главна ферментация, или недай си боже са направили и вторична.
При това положение при бутилирането няма достатъчно живи и дейни клетки за да газират бирата в бутилките.
Нужно е да се добавят свежи дрожди при бутилирането.
Тогава всичко си идва на мястото.
Иначе - чакай си ти и месец, газировката ще е най-малкия проблем. Ще има и лоши вкусове, а и може и диви дрожди да завземат средата за газировка.
Затова с тези точно дрожди трябва или да се бутилира по-рано от средното време, или да се добавят нови свежи дрожди , че и даже министартер със захарта за бутилкова доферментация.
А не е лошо и вместо захар да се ползва малцов екстракт, тъй като в него има и минерали и декстрини и т.н.</t>
  </si>
  <si>
    <t xml:space="preserve"> всяко действие с бурно действащи дрожди, което води до тяхното бързо "приспиване" води до неприятни миризми - предимно сероводород.
Най-добрият показател че дрождите са приключили работата си е избистрянето на бирата и падането на видима утайка долу. Тогава може безопасно да се охлаждат.
Тази една седмица е приблизителен интервал, както и пожелателен.
Някои дрожди ще приключат за ден два, други ще се влачат и повече от седмица.
Всичко е въпрос на опит, рутина и внимателно наблюдение.
За по-лесна преценка - бутилирайте и една ПЕТ бутилка, така по вдървяването й ще съдите за газировката в стъклените.</t>
  </si>
  <si>
    <t>OG
Stands for "Original Gravity." This is the specific gravity of the unfermented wort. The primary contribution to specific gravity is sugar, some of which is fermented into alcohol, and some of which remains in the finished beer to give sweetness and body. A specific gravity of 1.040 corresponds to a 10% (by weight) sugar solution, and will produce, on average, about 4% alcohol (measured by volume).
FG
Stands for "Final Gravity." The AHA added FG numbers to the style guidelines in 1995, and the charts have not yet been updated. The final gravity is the specific gravity of the fermented beer. It will always be less than the original gravity because during fermentation heavy sugars are converted to lighter carbon dioxide and alcohol. The gravity is reduced both by the reduced sugar content, and because alcohol is lighter than water. Thus the sugar content of the finished beer cannot be calculated directly from the final gravity, without taking the alcohol content into account. See the useful formulæ page for details on this computation.
Alcohol
Alcohol content is measured in percent. Just to keep you on your toes, the percentage may be either by volume or weight. Since alcohol is lighter than water, the %volume (frequently abbreviated v/v) number is larger than the %weight (w/w) number by a factor of 1.25. The numbers in this table are %volume, which is the standard for wines and liquors in the US, and for all alcoholic beverages in most parts of the world. For some reason, beer in the US is commonly measured in %weight (e.g., 3.2% beer has at most 3.2% by weight of alcohol, or 4% by volume).
IBUs
The International Bitterness Unit measures the bitterness of the beer from the hops. There are other sources, but the hops are usually the primary source of bitterness. One IBU corresponds to 1mg of isomerized alpha acid per liter of beer. The threshhold of taste is about 12IBUs; below that level there is no perceptible bitterness (for most people, most of the time). Generally, at higher beer OG values, it requires higher levels of IBUs to give the same perceived bitterness, as balanced by the residual sweetness of the finished beer.
Color (SRM)
Beer color in the US is measured by the "Standard Reference Method" (SRM), or in "degrees Lovibond". The numbers are about the same between the two scales, and they tend to be used interchangably. Higher values of the color measurement correspond to darker beers. The scale is not linear: 10SRM is not twice as dark as 5SRM, for example. The Europeans (and most of the rest of the world) use a different scale: EBC. A very rough conversion from SRM to EBC is to multiply by 3. This only works at all well for SRM values less than 4 or 5.</t>
  </si>
  <si>
    <t>Белтъчна пауза: 50 °С</t>
  </si>
  <si>
    <t>Доозахаряване: 72 °С</t>
  </si>
  <si>
    <t>Маш аут: 78 °С</t>
  </si>
  <si>
    <t>70 мин</t>
  </si>
  <si>
    <t xml:space="preserve">60 мин </t>
  </si>
  <si>
    <t xml:space="preserve">Старт загряване вода за промиване и озахаряване. </t>
  </si>
  <si>
    <r>
      <t xml:space="preserve">Промиване </t>
    </r>
    <r>
      <rPr>
        <sz val="11"/>
        <color theme="1"/>
        <rFont val="Calibri"/>
        <family val="2"/>
        <charset val="204"/>
        <scheme val="minor"/>
      </rPr>
      <t>78 °С</t>
    </r>
  </si>
  <si>
    <t>3. Лек стартер - рехидратира се в смес от бирена мъст, току що извлечена при промиването с вода , така че общата захарност да е около 8% Плато. Наръсват се в обем 10 пъти по грамажа на дрождите - за 11гр. 100-120мл, и се изчаква 10 мин. , разбърква се и се оставя така докато дойде време за заквасване - през това време се прави промиването, варенето, охлаждането и т.н. - т.е. минават около 2-4 часа, през което време чашата с дрождите шупва и по това се разбира че дрождите са жизнени и ще заквасят успешно бирата. Може да им се добави след шупването още мъст и те пак ще шупнат.</t>
  </si>
  <si>
    <t>4. Стартер
Рехидратира се в смес от бирена мъст, току що извлечена при промиването с вода , така че общата захарност да е около 8% Плато. Дрождите се наръсват в обем 10 пъти по грамажа на дрождите - за 11гр. 100-120мл, и се изчаква 10 мин. , разбърква се и се оставя така докато дойде време за заквасване - през това време се прави промиването, варенето, охлаждането и т.н. - т.е. минават около 2-4 часа, през което време чашата с дрождите шупва и по това се разбира че дрождите са жизнени и ще заквасят успешно бирата. Може да им се добави след шупването още мъст и те пак ще шупнат. Вливат се рехидрираните дрожди, оставя се стартера да се развива било то на магнитна бъркалка, било само с фолио на гърлото и т.н. 
светъл малц  - 3/4 вода
белтъчна пауза на 53гр - 10мин
главно озахаряване на 65 гр - 45мин
доозахаряване на72 гр - 10мин
охлаждане и заквасване 
След 12-24 часа този стартер е направил от първоначалните живи клетки - нови, с брой около 2- до 5-6 пъти по-голям (слагаш 11гр. - получаваш 60-70гр.)</t>
  </si>
  <si>
    <t>Залага се стартер за 12-24 часа</t>
  </si>
  <si>
    <t>ВАЙС ГРАФИК</t>
  </si>
  <si>
    <t>старт</t>
  </si>
  <si>
    <t xml:space="preserve">от </t>
  </si>
  <si>
    <t>от 9:25</t>
  </si>
  <si>
    <t xml:space="preserve">Пшеничен </t>
  </si>
  <si>
    <t>до 10:55</t>
  </si>
  <si>
    <t>от 16:50</t>
  </si>
  <si>
    <t>от 17:00</t>
  </si>
  <si>
    <t>от 17:45</t>
  </si>
  <si>
    <t>до 18:00</t>
  </si>
  <si>
    <t>Фианл варене</t>
  </si>
  <si>
    <t>73l</t>
  </si>
  <si>
    <t>дата</t>
  </si>
  <si>
    <t>http://www.brewersfriend.com/srm-calculator/</t>
  </si>
  <si>
    <t>Прегазирането се получава когато се бутилира преди са напълно ферментирали захарите(повече от 1*Р)или се предозира захарния сироп.Това се случва най-често при домашните пивовари.
Гашингът,е неконтролирано разпенване ,и излизане на пивото извън бутилката,след като е отворена (без да направи фонтан),и е поставена на масата.Най-честата причина е заразаване на ечемика ,от който е произведен малца с гъбички Fusarium.Когато се използва качествен малц,този проблем се счита ,че го няма.</t>
  </si>
  <si>
    <t>Не са ти уплътнени клапаните. Щом има пяна, значи ферментира.
Освен това на снимката се вижда даже преминала след експоненциалната фаза пяна - има кафеви люспи.
Пък ако още не вряваш че ферментира - измери плътността и ще видиш че е паднала.
И още един факт - в големи съдове пълни до средата с много въздух отгоре - водният клапан тръгва доста по-късно заради инерцията на въздушната възглавница.</t>
  </si>
  <si>
    <t xml:space="preserve">Нотингам </t>
  </si>
  <si>
    <t>Меланоидинов</t>
  </si>
  <si>
    <t>Главно озахаряване: 72 °С</t>
  </si>
  <si>
    <t>Пивна мъст (във ферментатора)</t>
  </si>
  <si>
    <t>% Плато</t>
  </si>
  <si>
    <t>Килограми вложен малц</t>
  </si>
  <si>
    <t>Екстрактивност</t>
  </si>
  <si>
    <t>Първите мътни литри се връщат обратно в казана</t>
  </si>
  <si>
    <t>Отделя се мъст за карбонизация и следващ стартер</t>
  </si>
  <si>
    <t>ГРАФИК  РАУХ</t>
  </si>
  <si>
    <t xml:space="preserve">Филтриране на вода за промиване и озахаряване. </t>
  </si>
  <si>
    <t>1 д</t>
  </si>
  <si>
    <t>°С</t>
  </si>
  <si>
    <t>°P</t>
  </si>
  <si>
    <t>38 °С</t>
  </si>
  <si>
    <t>13 °P</t>
  </si>
  <si>
    <t xml:space="preserve"> °P</t>
  </si>
  <si>
    <t>междинни измервания по време на буйната ферментация</t>
  </si>
  <si>
    <t xml:space="preserve"> ден</t>
  </si>
  <si>
    <t>5 ден</t>
  </si>
  <si>
    <t>На чучура се поставя марля преди пълненето</t>
  </si>
  <si>
    <t>Ирландски мъх накиснат в малко вода</t>
  </si>
  <si>
    <r>
      <t xml:space="preserve">Колко е  </t>
    </r>
    <r>
      <rPr>
        <b/>
        <sz val="11"/>
        <color theme="1"/>
        <rFont val="Calibri"/>
        <family val="2"/>
        <charset val="204"/>
        <scheme val="minor"/>
      </rPr>
      <t>Екстракта</t>
    </r>
    <r>
      <rPr>
        <sz val="11"/>
        <color theme="1"/>
        <rFont val="Calibri"/>
        <family val="2"/>
        <charset val="204"/>
        <scheme val="minor"/>
      </rPr>
      <t xml:space="preserve"> на бирата -</t>
    </r>
    <r>
      <rPr>
        <sz val="11"/>
        <color theme="1"/>
        <rFont val="Calibri"/>
        <family val="2"/>
        <charset val="204"/>
        <scheme val="minor"/>
      </rPr>
      <t xml:space="preserve"> след охлаждане, преди заквасване</t>
    </r>
  </si>
  <si>
    <t>0,05гр/л</t>
  </si>
  <si>
    <t>газ 1/3 бутилка</t>
  </si>
  <si>
    <t>Колко литра е пивната мъст</t>
  </si>
  <si>
    <t>Халертауер - Мителфрю          (ароматен; немски; алфа 4,7)</t>
  </si>
  <si>
    <t>Жатец             (ароматен; чешки; алфа 3,4)</t>
  </si>
  <si>
    <t>Сипване газиращият елемент във ферментатора, изчаквам час да се утай</t>
  </si>
  <si>
    <r>
      <t xml:space="preserve">Тиха ферментация (бутилкова доферментация) 15-20 </t>
    </r>
    <r>
      <rPr>
        <sz val="11"/>
        <color theme="1"/>
        <rFont val="Calibri"/>
        <family val="2"/>
        <charset val="204"/>
      </rPr>
      <t>°</t>
    </r>
    <r>
      <rPr>
        <sz val="12.65"/>
        <color theme="1"/>
        <rFont val="Calibri"/>
        <family val="2"/>
        <charset val="204"/>
      </rPr>
      <t>С</t>
    </r>
  </si>
  <si>
    <t>19 °С</t>
  </si>
  <si>
    <t>Колко гр. е в края на промиването</t>
  </si>
  <si>
    <t>Колко гр. е сладката пивна мъст, първите л. при промиването</t>
  </si>
  <si>
    <t>5 °P</t>
  </si>
  <si>
    <t>от 18:15</t>
  </si>
  <si>
    <t>от 18:40</t>
  </si>
  <si>
    <t>от 19:25</t>
  </si>
  <si>
    <t>до 19:40</t>
  </si>
  <si>
    <t>от 20:10</t>
  </si>
  <si>
    <t>Охлаждане от ~ 95 °С до ~ 19 °С</t>
  </si>
  <si>
    <t>от 20:55</t>
  </si>
  <si>
    <t>до 22:30</t>
  </si>
  <si>
    <t>Прецездане и изливане във ферментатора</t>
  </si>
  <si>
    <t>от 22:30ч</t>
  </si>
  <si>
    <t>общо 1:35ч</t>
  </si>
  <si>
    <t>OG:</t>
  </si>
  <si>
    <t>1.050 – 1.057</t>
  </si>
  <si>
    <t>FG:</t>
  </si>
  <si>
    <t>1.012 – 1.016</t>
  </si>
  <si>
    <t>12 – 22</t>
  </si>
  <si>
    <t>4.8 – 6%</t>
  </si>
  <si>
    <t>6 ден</t>
  </si>
  <si>
    <t>6,5 °P</t>
  </si>
  <si>
    <r>
      <t>Алкохол в об % (</t>
    </r>
    <r>
      <rPr>
        <b/>
        <sz val="11"/>
        <color theme="1"/>
        <rFont val="Calibri"/>
        <family val="2"/>
        <charset val="204"/>
        <scheme val="minor"/>
      </rPr>
      <t>АBV</t>
    </r>
    <r>
      <rPr>
        <sz val="11"/>
        <color theme="1"/>
        <rFont val="Calibri"/>
        <family val="2"/>
        <charset val="204"/>
        <scheme val="minor"/>
      </rPr>
      <t>) = (нач. екстракт - краен екстракт) * 0,52</t>
    </r>
  </si>
  <si>
    <t>Резултати</t>
  </si>
  <si>
    <t>Утайка гъста и добре лепнала за дъното малко подд канелката</t>
  </si>
  <si>
    <t>общо 60,1л бира   (1,6л пивна мъст за карбонизация)</t>
  </si>
  <si>
    <t>20 °С</t>
  </si>
  <si>
    <t>8 дни</t>
  </si>
  <si>
    <t>Копромат</t>
  </si>
  <si>
    <t>Ирландски мъх</t>
  </si>
  <si>
    <t>получено</t>
  </si>
  <si>
    <t>по стил</t>
  </si>
  <si>
    <t>Горчивина на бирата IBU</t>
  </si>
  <si>
    <t>Цвят на бирата SRM</t>
  </si>
  <si>
    <t>CARAMUNICH® TYPE 2 (Карамелен мюнхенски тип 2) Вайерман</t>
  </si>
  <si>
    <t>30 - 30</t>
  </si>
  <si>
    <t>Раух - RAUCHBIER</t>
  </si>
  <si>
    <t>гр</t>
  </si>
  <si>
    <t>ГРАФИК  КОМПРОМАТ</t>
  </si>
  <si>
    <t>SRM - цвят на бирата</t>
  </si>
  <si>
    <t>IBU - горчивост</t>
  </si>
  <si>
    <t>Забележки</t>
  </si>
  <si>
    <t>варка</t>
  </si>
  <si>
    <t>Батч сайз е обема след варката и след охлаждането.
Бойл сайз е обема преди варката - трябва да е с около 1/5 повече .
Т.е. преди варенето имаме 36л. мъст с захарност 10%
Варим и изпаряваме 6л. вода.
Имаме 30л. бирена мъст с плътност 12%
Задаваш за батч сайз 30л.
за бойл сайз 36
за ОГ - 12% (Target Original Gravity</t>
  </si>
  <si>
    <t>Екстракт на бирата</t>
  </si>
  <si>
    <t>OG</t>
  </si>
  <si>
    <t>FG</t>
  </si>
  <si>
    <t>Белтъчна пауза: 65 °С</t>
  </si>
  <si>
    <t>54 °С</t>
  </si>
  <si>
    <t>20 °P</t>
  </si>
  <si>
    <t>Поставяне на мрежа и капак</t>
  </si>
  <si>
    <t>до 14:30</t>
  </si>
  <si>
    <t>Кара-Пилс малц Вайерман Германия</t>
  </si>
  <si>
    <t>Plato To SG Conversion Chart</t>
  </si>
  <si>
    <t>Convert between between Plato and SG (specific gravity) with the following chart.</t>
  </si>
  <si>
    <t>For home brewing purposes Brix and Plato are essentially interchangeable (same out to 3 decimal places).</t>
  </si>
  <si>
    <t>Equations:</t>
  </si>
  <si>
    <t>SG = 1+ (plato / (258.6 – ( (plato/258.2) *227.1) ) )</t>
  </si>
  <si>
    <t>plato = (-1 * 616.868) + (1111.14 * sg) – (630.272 * sg^2) + (135.997 * sg^3)</t>
  </si>
  <si>
    <t>Plato °P</t>
  </si>
  <si>
    <t>SG (1.xxx)</t>
  </si>
  <si>
    <t>1.002</t>
  </si>
  <si>
    <t>1.004</t>
  </si>
  <si>
    <t>1.006</t>
  </si>
  <si>
    <t>1.008</t>
  </si>
  <si>
    <t>1.010</t>
  </si>
  <si>
    <t>1.012</t>
  </si>
  <si>
    <t>1.014</t>
  </si>
  <si>
    <t>1.016</t>
  </si>
  <si>
    <t>1.018</t>
  </si>
  <si>
    <t>1.020</t>
  </si>
  <si>
    <t>1.022</t>
  </si>
  <si>
    <t>1.024</t>
  </si>
  <si>
    <t>1.026</t>
  </si>
  <si>
    <t>1.028</t>
  </si>
  <si>
    <t>1.030</t>
  </si>
  <si>
    <t>1.032</t>
  </si>
  <si>
    <t>1.034</t>
  </si>
  <si>
    <t>1.036</t>
  </si>
  <si>
    <t>1.038</t>
  </si>
  <si>
    <t>1.040</t>
  </si>
  <si>
    <t>1.042</t>
  </si>
  <si>
    <t>1.044</t>
  </si>
  <si>
    <t>1.046</t>
  </si>
  <si>
    <t>1.048</t>
  </si>
  <si>
    <t>1.050</t>
  </si>
  <si>
    <t>1.053</t>
  </si>
  <si>
    <t>1.055</t>
  </si>
  <si>
    <t>1.057</t>
  </si>
  <si>
    <t>1.059</t>
  </si>
  <si>
    <t>1.061</t>
  </si>
  <si>
    <t>1.063</t>
  </si>
  <si>
    <t>1.065</t>
  </si>
  <si>
    <t>1.068</t>
  </si>
  <si>
    <t>1.070</t>
  </si>
  <si>
    <t>1.072</t>
  </si>
  <si>
    <t>1.074</t>
  </si>
  <si>
    <t>1.076</t>
  </si>
  <si>
    <t>1.079</t>
  </si>
  <si>
    <t>1.081</t>
  </si>
  <si>
    <t>1.083</t>
  </si>
  <si>
    <t>1.085</t>
  </si>
  <si>
    <t>1.087</t>
  </si>
  <si>
    <t>1.090</t>
  </si>
  <si>
    <t>1.092</t>
  </si>
  <si>
    <t>1.094</t>
  </si>
  <si>
    <t>1.096</t>
  </si>
  <si>
    <t>1.099</t>
  </si>
  <si>
    <t>1.101</t>
  </si>
  <si>
    <t>1.103</t>
  </si>
  <si>
    <t>1.106</t>
  </si>
  <si>
    <t>1.108</t>
  </si>
  <si>
    <t>1.110</t>
  </si>
  <si>
    <t>1.113</t>
  </si>
  <si>
    <t>1.115</t>
  </si>
  <si>
    <t>1.117</t>
  </si>
  <si>
    <t>1.120</t>
  </si>
  <si>
    <t>1.122</t>
  </si>
  <si>
    <t>1.124</t>
  </si>
  <si>
    <t>1.127</t>
  </si>
  <si>
    <t>1.129</t>
  </si>
  <si>
    <t>1.132</t>
  </si>
  <si>
    <t>1.134</t>
  </si>
  <si>
    <t>1.136</t>
  </si>
  <si>
    <t>1.139</t>
  </si>
  <si>
    <t>1.141</t>
  </si>
  <si>
    <t>1.144</t>
  </si>
  <si>
    <t>1.146</t>
  </si>
  <si>
    <t>1.149</t>
  </si>
  <si>
    <t>1.151</t>
  </si>
  <si>
    <t>1.154</t>
  </si>
  <si>
    <t>1.156</t>
  </si>
  <si>
    <t>1.159</t>
  </si>
  <si>
    <t>1.161</t>
  </si>
  <si>
    <t>1.164</t>
  </si>
  <si>
    <t>1.166</t>
  </si>
  <si>
    <t>1.169</t>
  </si>
  <si>
    <t>1.171</t>
  </si>
  <si>
    <t>1.174</t>
  </si>
  <si>
    <t>1.176</t>
  </si>
  <si>
    <t>1.179</t>
  </si>
  <si>
    <t>Plato to SG Conversion</t>
  </si>
  <si>
    <t>Екстракт</t>
  </si>
  <si>
    <t>Има такова изследване и е точно в поредността, по която съм ги описал.
И все пак - за колеги с по 5-6 варки не мисля че аерирането точно ще е решаващо за поредната бира.
По-добре да се наблегне на прецизност при озахаряването (мерене на пеха и ползване на млечна киселина, както и предварителна подготовка на пивоварната вода - омекотяване, преваряване, добавка ако е нужно на соли и т.н.), промиването, варенето, точното дозиране на хмела (горчива и ароматична порция - стилове бири - сортове хмел), поддържане на температура на ферментация, стартер или добро засяване, пълнене на бутилките без допускане на разпенване и от там окисление, добро размесване и дозиране на захарите за газировка (ползване на пивна мъст или малцов екстракт вместо проста захар) , прецизно пълнене на бутилките (нито малко, нито препълване), подходящи дрожди за газировката, отлежаване на студено за формиране на бирата и т.н. и т.н.
Дори и при самото тестване на готовата бира има тънкости - температура на поднасяне (съобразно стила), подходяща за стила чаша, начин на наливане в чашата (лагери - ейлове - вайцени) и не на последно място - запознаване с ароматите и вкусовете в бирата - както типични, така и нежелани.
За да може домашният пивовар сам да си отовори на въпроса кое не е наред в бирата му и за следващия път да отстрани причината.</t>
  </si>
  <si>
    <t>То за имане - има , но не е във верния раздел.
Начини - от най-лесните към най-трудните за реализация :
1. Вливане от високо с разплискване.
2. Друсане на целия ферментор (ако е 20л. добре, но за повече ще е трудно)
3. Помпичка за въздух за аквариум (трябва да се смени разпръсквача, който е от пемза и се разтваря след време - има други такива от пластмаса). За предпочитане е да се вземат мерки за дезинфекция на въздуха - да се увие около помпата дунапрен, намокрен с дезинфектант или да се прекара нагнетеният въздух през воден филтър - бутилка с дезинфектант, през капачката на която влизат две тръбички - една дълга до дъното за входящия въздух, една къса - за изходящия, който излиза и заминава да аерира бирената мъст.
4. Бутилка с кислород (опасен вариант, отделно че е и доста скъп)
Аз ползвх помпичката без дезинфекция, но в момента съм малко параноичен спрямо бактериите и предпочитам вливането с разплискване.
Замислил съм и пълно затваряне на процеса след варенето - от крана за източване на казана - проточен охладител, помпа, аератор с дезинфекция и директно в бидона, който предварително е дезинфекциран при полузатворен капак, а може и през дупка в капака.
Засега мога да отчета че повече проблеми съм си създал с аерирането, отколкото съм решил с него :)
Тъй че докато можеш да вдигаш ферментатора с една ръка - по-добре друсай</t>
  </si>
  <si>
    <t>Аериране</t>
  </si>
  <si>
    <t>Аз лично съм добавял Фосфат Композе или само ДАФ - има ги в магазина в раздела за вино.
Но само когато съм правил трудни ферментации - високоалкохолни бири (добавят се в края на ферментацията), както и нискотемпературен лагер, който така и не стана ниско температурен.
Ако се направи добра протеинова пауза в мъстта влизат достатъчно азотни вещества (нутриенти). Самият малц на Вайерман е добре модифициран и няма нужда от протеинова пауза, изключая вайцените и други пшенични бири.
За цинка нищо не мога да кажа.</t>
  </si>
  <si>
    <t>Иначе няма причина да не излезе поне 60% екстрактивност. Даже трябва 65-66 да се гони.
На големи обеми и до 70 достига, а теоретичният максимум е 80.
Разбира се не е важна чак толкова ефективността , но няма причина да не може да се достигне 60% при светли бири с екстракт около 12%
Виж за високоекстрактни е възможно да падне, тъй като спираме промиването твърде рано и остава в триците непромит екстракт.
От друга страна - 21% на сладката пивна мъст си е нещо съвсем нормално и трябваше след промиването да извадите около 40л на 10-11% и след сгъстяване да излезе 34-35 на 12%.
Проблемът май е в промиването или в разреждане по погрешка при охлаждането.
Опиши ако искаш подробно като за малоумни как точно правите промиването и ще открием къде е заровено кучето.
А за паузите - няма ли пшеничен малц, хич не правете нещо под 60гр. Единствено българският пилс малц на Болярка (който в момента не е наличен) изисква и то само пожелателно протеинова пауза. Всички други малцове от Вайерман или Бест малц са добре модифицирани и могат да се озахаряват директно в областта 60-72 гр.
Освен това моят личен опит е показал че излишното бавене в процеса на озахаряване само намалява силата на ензимите.
Едно бързо озахаряване от 62 за 20 мин. и 72 за още 20 мин. дава перфектна йодна проба за около 50 мин. общо време от размесването до пробата. Следва загряване до 78 за още 10 мин. и начало на промиването. Гарантирам над 60 % екстрактивност при достатъчно прецизно промиване.
Наздраве.</t>
  </si>
  <si>
    <t>Иначе - паузите трябва да са - 52 (протеинова - ако има пшеничен малц) , 62 (бетаамилазна) , 72 (алфа амилазна) , 78 (промиване)
Или еднотемпературно на около 65-67 и после да се мине през 72 и да се достигне до 78 за промиването.</t>
  </si>
  <si>
    <t>Вместо сухо охмеляване приложих т.н. хмелно чайче :
2гр. / литър Цитра разтворих в 10 пъти повече вода (за 110л. бира - 2-3л. вода).
Водата първо е кипната заедно с торбата за прецеждане за дезинфекция и удобство, след това като падне темп. до 85гр. - сипвам хмела и разбърквам.
Покривам и забравям за два дена до момента на бутилирането (кегирането).
Прецеждам хмела и получената течност я сипвам при бирата, леко разбърквам да се размеси и започвам да бутилирам по познатия начин.
За разлика от метода сухо охмеляване, този не е толкова ароматен, но е близо. Обаче няма опасност от зарази и не изисква продължително време.
Хмелът от чайчето не се хвърля, а се замразява за следващата варка, в която се използва като горчива порция.
Затова е и добре да се прецени неговото количество, така че да стигне за нужното ИБУ на следващата варка , или поне да е близо.</t>
  </si>
  <si>
    <t>ПЯНА
По въпроса за пяната на бирата в чашата - нейното проявление се дължи на няколко неща - газировката от ЦО2 и наличието на повърхностно-активни вещества, разтворени в бирата.
Моторът за вдигане на пяна е газировката от ЦО2. Ако тя е слаба - слаба ще е и пяната.
Наличието или липсата на повърхностно-активните вещества определя и какво ще е задържането на пяната и нейния вид.
Така че при някакво средно ниво на газировка (количество ЦО2 на литър бира) - причината пяната да е слаба и да не се задържа добре е в съдържанието на тези повърхностно-активни вещества (т.е. липсата им или недостатъчно количество).
Премахването на пяната по време на варката определено ги намалява, но най-много ги намалява безпричинната или прекалената протеинова пауза по време на озахаряването. Там именно става разпадането на белтъците и бетаглюканите (после бирата е бистра и прецеждането е минало перфектно, но пяната е слаба и не се задържа добре)
По време на варката тази пяна отгоре впоследствие се накъсва и пада във вид на парцали. Затова и първият хмел не се слага преди да е паднала - защото ще увлече със себе си хмелните частици и те няма да отдадат горчивината си после.
И аз съм правил опити да я махам, но само в началото.
Друг аспект за подобряване на пяната е и по време на ферментацията - слабо витални дрожди, както и недозасяването - водят до продуциране от тях на вещества, влошаващи пяната.
Използването на определен процент от малцове, засушавани на високи темп. подобрява пяната - пейл ейл вместо пилс малц, мюних и виена като основни, карапилс и въобще всякакви карамелени малцове.
Основното обаче си остава - температурата на озахаряване - колкото е по-близка до 50 гр. - толкова повече проблемна ще е пяната в бирата.
Ако се прави протеинова пауза - да е предимно за пшенични пива (тъй като в пшеничния малц има повече белтъци) или за нискотемпературни лагери (там пък дрождите се нуждаят от свободния азот, който се получава при протеиновата пауза, за да не се чувстват гроги по време на нискотемпературната ферментация на около 7-8 гр.)
Тук вече е въпрос на баланс между желанието този лагер да е много бистър и съответно да има и добра пяна.
Отделно - по-горчивите бири имат по-добра пяна от по-слабо горчивите - пак заради веществата извлечени от хмела.
Тук също може да се влияе - вместо да постигнем примерно 45 IBU с една доза високогорчив хмел, можем да го постигнем с няколко добавки на по-слабо горчив хмел като така общото количество хмел в грамове ще се увеличи, но ще имаме по-добра пяна (отделно и повече хмелов аромат заради по-късното влагане на порциите)</t>
  </si>
  <si>
    <t>Екстрактивност
61% екстрактивност не е лош резултат.
На повече от 66 трудно може да се надяваш, а за над 70 - само на светли и леки бири.
Говорим за чиста екстрактивност : добит екстракт в килограми / общите килограми малц
Например :
Добил си в края на варката 20л. пивна мъст с 12% екстракт от 4кг. малцове.
20л. с 12% са с плътност 1.048 или в кг. -&gt; 20.96кг.
12% от 20.96кг. е -&gt; 0.12*20.96=2.52 кг. екстракт
екстрактивността е 2.52/4=63%
Това е най-вероятния сценарий.
Над 63% ще иска много по-бавно промиване, при това чрез разбъркване. Освен това за малки варки мъртвият обем на лаутертюна оказва голямо значение (остатъка от течност под канелката)
Аз съм достигал максимум до 71-72% при пшенични бири заради по-голямата екстрактивност на пшеничния малц и заради по-трудното му прецеждане (от там и по-бавно).</t>
  </si>
  <si>
    <t>Дори и без предварителни стартери 3 х 11 грама стигат чудесно за 100 л. бира , многократно тествано. За ейл говоря!</t>
  </si>
  <si>
    <t>Горелка - газов котлон Колос - има го в магазина.
Казани - до 70л. са с дебелина 0.8 мм , над 70 л. са предимно 1мм.
Аз лично ползвам 2 по 100л. (90 реални) на 1мм. и един 170 (160 реални) на 1.2мм
Няма проблеми с прегаряне, защото ламарината е неръждаема. Има проблеми със загаряне, но това е дълга тема. И те са решими, стига да има човек желание.
Най-добре е да се прави подгряване на водата на макс. мощност, за да стане бързо - до 72-75 гр., после добавяш малца и след добро размесване темп. пада на 65-67 гр. и така правиш озахаряването 45 мин., към 30-тата минута започваш да подгряваш отдолу на средна мощност и постоянно бъркане (ако може с ел. бъркалка - мотор от чистачки за кола монтиран на капака, който е изрязан по хорда, за да има отвор за вкарване на малца, или ако не е - го махаш и слагаш)
След достигане до 72гр. за втората пауза - спираш загряването и след 5-10 мин. пак до дупка с яко бъркане да стигне 76.
В друг казан или в кофи и/или бидон през това време си стоплил на ток с бързовар (няколко бързовара) водата за промиване на 78 гр.
И започваш промиване.
За най-голямо удобство ще ти трябват 3 казана монтирани един над друг, за да се получи гравитачно изтичане (най-високо казанът за топлене на водата, под него озахарително-прецеждащият казан, под него големия казан за варката - 3 казана - 3 котлона, или поне 2 ако водния се грее на ток)
Аз правя и варки само на ток, като газ ползвам само за вдигането на темп. на майша от 65 на 72 и после на 76.
Всичко друго е на ток - водата се топли в най-горния казан с нагревател 2квата и термостат, като го включвам вечерта за да ползва нощна енергия. На сутринта е изключил и имам готова вода на 72-75гр.
Докато трае озахаряването загрявам промивната вода като добавям и един бързовар с още 2 квата мощност.
Варилният ми казан е с вграден нагревател 2 квата който включвам още в началото на прецеждането след като се покрие с течност, щом добия около 50% от пивната мъст вкарвам в действие и още два бързовара по 2 квата всеки и общо в казана са 6квата ел.мощност.
Така изкарвам цялото врене само на ток. Ако бързам - паля и газовия котлон отдолу и течността завира за няма и 15 мин., но почти не го правя.
Ако искаш да си направиш варилния казан само на ток - за 100 и нагоре литра ще ти трябват 3 нагревателя по 2 квата и поне два отделни контакта ! А ако имаш трифазен ток - вържи ги трифазно в звезда, а може и в триъгълник, но ще стане прекалено силно вренето. (може да се поръчат специални нагреватели с голяма площ и тогава нещата стават по-добре)
Ако искаш всичко да е в един казан - ще трябва да си направиш лаутертюн (съд за прецеждане) отделен - може да е и от пластмаса - някакъв подходящ бидон с добра изолация и лъжливо дъно.
Въобще - изолацията е много важна.
Ако варката я правиш в някакво помещение - ще трябва да си направиш аспирация, защото става вътре като в турска баня.
Или поне да ги монтираш в близост до прозорец.
Дай повече инфо и ще ти дам съвети за конкрентия случай.</t>
  </si>
  <si>
    <t>По подобен начин се прави и т.н. псевдо-сухо охмеляване. Прекарва се вряла вода през хмел на пелети сложен във врътка на кафемашина (все едно си правиш кафе) и чайчето се влива директно при бирата в кега. Не се чака една две седмици за сухо.
Е, резултата не е както при истинско сухо, но за много жадни пивовари е приемлив.</t>
  </si>
  <si>
    <t>т mirix » 23 Юни 2014, 14:55
Да ти кажа ли аз практикувам след завиране по 1гр. л горчив хмела и 10-20 мин. преди края по 2 гр. л. ароматен хмел и ми иде по малко горчива отколкото искам , но с ортака с когото варим сме стигнали до компромисен вариант :)</t>
  </si>
  <si>
    <t>гр/л</t>
  </si>
  <si>
    <t>лв/кг</t>
  </si>
  <si>
    <t>хмел</t>
  </si>
  <si>
    <t xml:space="preserve">Safale S04 </t>
  </si>
  <si>
    <t xml:space="preserve">Plato to SG </t>
  </si>
  <si>
    <t>Край на варенето</t>
  </si>
  <si>
    <t>Някъде във форума четох, че колеги използват хмела, останал след сухо охмеляване в следваща варка за горчива доза.
Как се изчислява IBU в този случай? Предполагам, че е необходима някаква корекция, все пак част от алфа киселините би трябвало да са извлечени?
И, как се съхранява такъв хмел до следващата варка (аз го замразих)?
Изчислява се на база теглото на хмела преди да бъде накиснат за сухо (записваш си в дневника или в главата :) )
След провеждане на сухото охмеляване - хмелът е мокър, набъбнат и неговото тегло не е критерий.
Освен това имайте пред вид, че алфа киселини почти не се извличат, тъй като този хмел не ври !
Той стои накиснат и отдава само аромати и вкусове, но не влияе на горчивината на бирата, тъй като въпросните алфа горчиви киселини не са разтворими при ниска температура.
Е, разбира се - винаги може да се позавиши дозата за следващата варка с малко сух хмел от същия или не вид.
Горчивата порция хмел почти няма значение от какъв сорт е.
Аз практикувам напоследък една друга тактика и засега има променлив успех (защото тествам с различни и не винаги подходящи за сухо хмелове) :
1. Ден преди варката или в ранния етап, когато още чакам да се сгрее водата за озахаряването правя следното - с бързовар завирам 3-4 литра вода (за 100л. варка става дума - за малките си го преизчислете) и потапям с нея торбата за прецеждане от магазина, да се стерилизира и намокри - хващам я с щипки по края на кофата и сипвам в нея хмела за вгорчаване на предстоящата варка.
2. Покривам с чист найлон и си започвам озахаряването, прецеждането и т.н.
3. Като дойде време за внасяне на горчивата порция хмел - прецеждам с торбата хмела и течното го затварям в една или две големи бутилки, а хмела както е мокър заминава в казана за вгорчаване.
4. Така съм извлякъл някаква част от аромата на хмела, като съответно не съм му употребил голяма част от горчивините, тъй като той влиза в досег със вода с темп. около 85-90 градуса, което не е достатъчно да изомеризира алфа киселините.
5. Има два варианта за употреба на полученото хмелно чайче - да го влея в казана в самия край на варката (като така засилвам ароматната порция без да добавям още хмел) или да го влея в бирата след главната ферментация, за да служи като сухо охмеляване без да ме бави и да рискувам зарази.
Можете да му викате на това - "метод на Върбанов за икономисване на хмел".
:D
С Нортърн Брюъра стана чудна хибридна бира. Ейл с лагерни наклонности, ферментиран с дрожди за каск и ботъл (бъчвова и бутилкова газировка) като основни. Но бирата си остана леко мътна заради чайчето след ферментацията, но с много забележим аромат.
Сега имам нова варка по този метод с лагерни материали - пилс, бохемски пилс и т.н. и хмел само Сладек, но чайчето влезе при охлаждането на варката, а не след ферментацията и сега бирата е бистра като лагер, а е пак със същите дрожди - Маури Брю Драут.
Ще й викам "псевдо-лагер".
(да, замразява се, или поне на най-студения рафт на хладилника при следваща варка до седмица -две)</t>
  </si>
  <si>
    <t>ABV - 5</t>
  </si>
  <si>
    <t>IBU - 40</t>
  </si>
  <si>
    <t>№ 8</t>
  </si>
  <si>
    <t>Разликата между озахаряване на една темп. на 66 и германския тип е в действието на двете амилази.
На 66гр. действат двете едновременно като алфата е подтисната от ниската температура. Но все пак действа и предоставя декстрини за бетата, която да ги донакъса. Така имаме по-голяма ефективност и в резултат - съотношението алкохол/тяло се регулира в рамките на няколко градуса.
При германския тип озахаряване - на 62 бачка предимно само бета амилазата и преработва само амилозата, амилопектинът остава почти цял. На 72гр. бачка вече само алфа амилазата, защото бетата е унищожена, тогава се преработва амилопектинът в неферментируеми декстрини. Така се гарантира тяло на бирата. Но няма възможност за мърдане - винаги един и същ резултат. Което е по-добре за системи с нестабилно поддържане на температурата.</t>
  </si>
  <si>
    <t>°P -12,5</t>
  </si>
  <si>
    <t>OG - 1,050</t>
  </si>
  <si>
    <t>оборудвае: китаец 21, меден 40, черните кофи, белия бидон</t>
  </si>
  <si>
    <t>рецепта</t>
  </si>
  <si>
    <t>SRM - 3,6</t>
  </si>
  <si>
    <t>бр</t>
  </si>
  <si>
    <t xml:space="preserve">FG - </t>
  </si>
  <si>
    <t>№ 9</t>
  </si>
  <si>
    <t>% малц</t>
  </si>
  <si>
    <t>дрожди и други</t>
  </si>
  <si>
    <t>мелене (смесен малц)</t>
  </si>
  <si>
    <t>Началният екстракт е бил 13.5% , а крайният 7%.
А би трябвало да е 4%
Може би по време на озахаряването е станала грешка в температурите и е озахарявано на по-висока температура.
Например - кашата ти стои в тензуха, а под нея имаш много течност (а точно в течността са ензимите) - ти загряваш с котлона отдолу течността и тя достига доста високи температури, а иначе мериш вътре в торбата и си мислиш че всичко е наред, а то не е - тъй като течната част под торбата е превишила доста търсената температура и ензимите са започнали да се унищожават.
Първи се денатурират по-нискотемпературните ензими - бета амилазата над 68 градуса вече я няма. И именно затова тя не е действала достатъчно за да произведе ферментируеми захари, а са останали едрите декстрини от действието на алфа амилазата и така имаш повече неферментируеми захари и ферментацията завършва при висок краен екстракт, а от там и слаба на алкохол бира.</t>
  </si>
  <si>
    <t>За по-големи варки ефективността се увеличава, а за по-тъмните малцове - намалява.
Например бири с много съдържание на малцове от типа на карамелените, карафа и подобни трудно стигат екстрактивност 65%
Отделно за по-силни бири ефективността намалява заради по-малкото вода за промиване за единица малц.</t>
  </si>
  <si>
    <t>Смятайте си ефективността така :
добит малцов екстракт = (литри пивна мъст след варката и охлаждане до 20гр.) * градуси Плато / 100</t>
  </si>
  <si>
    <t xml:space="preserve"> екстрактивността е = добит екстракт / малц в килограми</t>
  </si>
  <si>
    <t>°P нa мъстта</t>
  </si>
  <si>
    <t>Ефективност</t>
  </si>
  <si>
    <t>Получена екстрактивност</t>
  </si>
  <si>
    <t>Теоритична екстрактивност</t>
  </si>
  <si>
    <t>Алфа амилазна на 73°С</t>
  </si>
  <si>
    <t>Литри пивна мъст за газиране</t>
  </si>
  <si>
    <t>тремометър</t>
  </si>
  <si>
    <t>четка</t>
  </si>
  <si>
    <t>амбалаж 90 бутилки</t>
  </si>
  <si>
    <t>амбалаж</t>
  </si>
  <si>
    <t>огнище</t>
  </si>
  <si>
    <t>мушама</t>
  </si>
  <si>
    <t>епруветка</t>
  </si>
  <si>
    <t>канелка</t>
  </si>
  <si>
    <t>термометър</t>
  </si>
  <si>
    <t>дата:</t>
  </si>
  <si>
    <t>Големи бели парцали = заразяване.
Заразена бира = мътна бира.
Ако не ти е много кисела - пробвай да я пиеш с мисъл за белгийска.</t>
  </si>
  <si>
    <t>Прегазирана бира, прекалено много утайка в бутилките, ранно бутилиране ...
Нищо ненормално, просто трябва да си префиносаш процеса, за да няма толкова много утайка в бутилките - изчакай повечко време ферментацията, ако ферментатора ти се събира в някой хладилник - след като са минали няколко дена без видими признаци на ферментация го премести вътре в хладилника да се утаят дрождите и да се поизбистри бирата малко.
След няколко дена в хладилника - извади го и след като добие нормална стайна температура - бутилирай като внимаваш да не вдигаш много утайка от дъното на ферментатора.
Не слагай много захар в бутилките да не се прегазирва бирата.
След седмица газировка - мести бутилките в хладилник за отлежаване и внимавай да не ги друсаш много.
При наливане на бирата - след отваряне на капачката виж дали не тръгва да се вдига утайката на парцали (гашинг, прегазиране). Наливането да става леко и бавно с внимание към утайката. Не наливай всичко, а остави малко над утайката в бутилката.</t>
  </si>
  <si>
    <t>Ако киселее или мирише на кисело зеле или на гнили ябълки - зараза.
Ако е нормална на вкус - може би е имало температурни разлики и ферментацията е леко позамряла в средата, а сега се е активизирала заради стопляне.
Мътността идва от протичащите все още процеси. Избистряне чакай чак след като спрат.
S-04 са добре залепващи и избистрят добре, но ако има активност - няма избистряне.
При зараза - избистряне няма.
8% краен е малко множко, но ако имаш от оня най-простия захаромер от магазина - той показва малко повече, т.е. около 7.5 е всъщност 5.5 , а там където му е резката за 5 е точно 3.
(В скоро време ще има други на същата цена, но много по-точни и то именно в ниските проценти)
Пеха-то също е показател за процесите - ако е около 4.5 - добре, ако е под 4.5 - примерно 4.2 и надолу - имаш вкисване от зараза, ако е било 4.5 и тръгне да се качва - имаш автолиза на дрождите и трябва да се откали веднага (което ти така или иначе вече си направил).
Следи екстракта независимо колко е верен захаромера. Ако пада - чакай да спре, ако вече е спрял - бутилирай набързо, че не се знае какво става вътре.
Избистряне чакай чак след газировката когато влязат в хладилника.
Ирландския мъх в момента не е критерий. Мътността ти е от протичащи процеси - ферментация или вкисване, или и двете паралелно.
И аз наскоро вкиснах 100л. битер ...
И то от експерименти дето си знаех че няма да помогнат.</t>
  </si>
  <si>
    <t>Варене - да БЪЛБУКА!</t>
  </si>
  <si>
    <t>Поздравления за първата дегустация! :)
Сега като гледам какво си писал, първото озахаряване си го правил на доста високи температури, така че не търси много алкохол. За сметка на това пък трябва да имаш наситен вкус, нали? Аз пък направих обратната грешка в началото - страхувах се да не прецакам нещата и много бавно вдигах температурите, та получих в повечко алкохол, но с опитите нещата се балансират..
Така или иначе, първата бира е като първата жена, като първата лодка - остава си най-скъпа :)</t>
  </si>
  <si>
    <r>
      <rPr>
        <b/>
        <sz val="13"/>
        <color theme="1"/>
        <rFont val="Calibri"/>
        <family val="2"/>
        <charset val="204"/>
        <scheme val="minor"/>
      </rPr>
      <t>Boil Size</t>
    </r>
    <r>
      <rPr>
        <sz val="13"/>
        <color theme="1"/>
        <rFont val="Calibri"/>
        <family val="2"/>
        <charset val="204"/>
        <scheme val="minor"/>
      </rPr>
      <t xml:space="preserve"> - литри пивната мъст преди варене  (π.r</t>
    </r>
    <r>
      <rPr>
        <sz val="13"/>
        <color theme="1"/>
        <rFont val="Arial"/>
        <family val="2"/>
        <charset val="204"/>
      </rPr>
      <t>²</t>
    </r>
    <r>
      <rPr>
        <sz val="13"/>
        <color theme="1"/>
        <rFont val="Calibri"/>
        <family val="2"/>
        <charset val="204"/>
        <scheme val="minor"/>
      </rPr>
      <t>.h)</t>
    </r>
  </si>
  <si>
    <r>
      <rPr>
        <b/>
        <u/>
        <sz val="13"/>
        <color theme="1"/>
        <rFont val="Calibri"/>
        <family val="2"/>
        <charset val="204"/>
        <scheme val="minor"/>
      </rPr>
      <t>Охлаждане:</t>
    </r>
    <r>
      <rPr>
        <b/>
        <sz val="13"/>
        <color theme="1"/>
        <rFont val="Calibri"/>
        <family val="2"/>
        <charset val="204"/>
        <scheme val="minor"/>
      </rPr>
      <t xml:space="preserve"> OG</t>
    </r>
    <r>
      <rPr>
        <sz val="13"/>
        <color theme="1"/>
        <rFont val="Calibri"/>
        <family val="2"/>
        <charset val="204"/>
        <scheme val="minor"/>
      </rPr>
      <t xml:space="preserve"> - екстракт преди заквасване  (π.r².h)</t>
    </r>
  </si>
  <si>
    <r>
      <rPr>
        <b/>
        <sz val="13"/>
        <color theme="1"/>
        <rFont val="Calibri"/>
        <family val="2"/>
        <charset val="204"/>
        <scheme val="minor"/>
      </rPr>
      <t xml:space="preserve">Batch Size </t>
    </r>
    <r>
      <rPr>
        <sz val="13"/>
        <color theme="1"/>
        <rFont val="Calibri"/>
        <family val="2"/>
        <charset val="204"/>
        <scheme val="minor"/>
      </rPr>
      <t>- литри пивната мъст във ферментатора</t>
    </r>
  </si>
  <si>
    <t xml:space="preserve"> boil</t>
  </si>
  <si>
    <t>инвест</t>
  </si>
  <si>
    <t>batch</t>
  </si>
  <si>
    <t xml:space="preserve">Малко "клан - недоклан" стана работата.
Вярно е че има такава препоръка в описанието на системата за домашно пивоварство "Браумайстер" (да се прави отваряне и затваряне на капачките ако те са от онези за многократно използване суинг-топ)
Причината да се препоръчва това, според мен е свързана именно с изгонването на кислорода, който е останал в бутилката при бутилирането, а не за да се вкарва нов кислород.
(При отварянето излизащият отдолу въглероден двуокис изтласква навън останалия отгоре кислород)
Така се гарантира че при отлежаването на бирата в бутилките няма да има останал кислород вътре, който да направи неприятните ефекти от окислението на алкохолите и хмелните производни.Въобще, кислорода след ферментацията е враг, а не търсен приятел.
Окислената бира има вкус на мокър картон, леки такива нотки са допустими само за някои много силни стилове, които така или иначе трябва да отлежават дълго и окислението е неизбежно, но в малки степени.
Силно оксидираната бира е неприятна за пиене.
</t>
  </si>
  <si>
    <t>Майсторлък е да се минимизира тази утайка до степен да не се забелязва и все пак да е добре газирана бирата.
Основни методи за това са :
1. Да не се прибързва с бутилирането - 7 дни ферментация е минималният срок, след това по желание може да се приложи лагеруване в същия или в друг съд, едно откаляване и след това лагеруване, т.н. Crash Cold - силно охлаждане на ферментатора, за да флокулират и да паднат в утайка дрождите и бирата да се избистри.
2. При бутилирането да се прецени дали има достатъчно дрождеви клетки за газировката (след студеното лагеруване), ако няма - да се добавят други специални дрожди за бутилкова газировка - Safbrew F2, Mauri Brew Draught и др. - тези дрожди са силно залепващи на дъното на бутилката и правят утайката почти незабележима. 
3. След газировката да се изчака повечко време в хладилника или в студено помещение бирата да се избистри и формира. Това спомага и за подобряване на пяната - мека, смалки фини балончета, с добре разтворен въглероден двуокис. От пяната пък зависи и усещането за аромат в чашата - има пяна -има аромат на хмел, на малц и т.н. Няма пяна - няма кой да ги извади тия аромати от течността.</t>
  </si>
  <si>
    <r>
      <rPr>
        <b/>
        <u/>
        <sz val="13"/>
        <color theme="1"/>
        <rFont val="Calibri"/>
        <family val="2"/>
        <charset val="204"/>
        <scheme val="minor"/>
      </rPr>
      <t>Бутилиране</t>
    </r>
    <r>
      <rPr>
        <sz val="13"/>
        <color theme="1"/>
        <rFont val="Calibri"/>
        <family val="2"/>
        <charset val="204"/>
        <scheme val="minor"/>
      </rPr>
      <t xml:space="preserve">  - да не се бърза, </t>
    </r>
    <r>
      <rPr>
        <b/>
        <sz val="13"/>
        <color theme="1"/>
        <rFont val="Calibri"/>
        <family val="2"/>
        <charset val="204"/>
        <scheme val="minor"/>
      </rPr>
      <t>7 дни мин!</t>
    </r>
  </si>
  <si>
    <r>
      <t>Междинни измервания:     2д</t>
    </r>
    <r>
      <rPr>
        <u/>
        <sz val="13"/>
        <color theme="1"/>
        <rFont val="Calibri"/>
        <family val="2"/>
        <charset val="204"/>
        <scheme val="minor"/>
      </rPr>
      <t xml:space="preserve">            </t>
    </r>
    <r>
      <rPr>
        <sz val="13"/>
        <color theme="1"/>
        <rFont val="Calibri"/>
        <family val="2"/>
        <charset val="204"/>
        <scheme val="minor"/>
      </rPr>
      <t>;   3д</t>
    </r>
    <r>
      <rPr>
        <u/>
        <sz val="13"/>
        <color theme="1"/>
        <rFont val="Calibri"/>
        <family val="2"/>
        <charset val="204"/>
        <scheme val="minor"/>
      </rPr>
      <t xml:space="preserve">            </t>
    </r>
    <r>
      <rPr>
        <sz val="13"/>
        <color theme="1"/>
        <rFont val="Calibri"/>
        <family val="2"/>
        <charset val="204"/>
        <scheme val="minor"/>
      </rPr>
      <t>;   4д</t>
    </r>
    <r>
      <rPr>
        <u/>
        <sz val="13"/>
        <color theme="1"/>
        <rFont val="Calibri"/>
        <family val="2"/>
        <charset val="204"/>
        <scheme val="minor"/>
      </rPr>
      <t xml:space="preserve">            </t>
    </r>
    <r>
      <rPr>
        <sz val="13"/>
        <color theme="1"/>
        <rFont val="Calibri"/>
        <family val="2"/>
        <charset val="204"/>
        <scheme val="minor"/>
      </rPr>
      <t>;   5д</t>
    </r>
    <r>
      <rPr>
        <u/>
        <sz val="13"/>
        <color theme="1"/>
        <rFont val="Calibri"/>
        <family val="2"/>
        <charset val="204"/>
        <scheme val="minor"/>
      </rPr>
      <t xml:space="preserve">            </t>
    </r>
    <r>
      <rPr>
        <sz val="13"/>
        <color theme="1"/>
        <rFont val="Calibri"/>
        <family val="2"/>
        <charset val="204"/>
        <scheme val="minor"/>
      </rPr>
      <t>;   6д</t>
    </r>
    <r>
      <rPr>
        <u/>
        <sz val="13"/>
        <color theme="1"/>
        <rFont val="Calibri"/>
        <family val="2"/>
        <charset val="204"/>
        <scheme val="minor"/>
      </rPr>
      <t xml:space="preserve">            </t>
    </r>
    <r>
      <rPr>
        <sz val="13"/>
        <color theme="1"/>
        <rFont val="Calibri"/>
        <family val="2"/>
        <charset val="204"/>
        <scheme val="minor"/>
      </rPr>
      <t>;  7д</t>
    </r>
    <r>
      <rPr>
        <u/>
        <sz val="13"/>
        <color theme="1"/>
        <rFont val="Calibri"/>
        <family val="2"/>
        <charset val="204"/>
        <scheme val="minor"/>
      </rPr>
      <t xml:space="preserve">            </t>
    </r>
    <r>
      <rPr>
        <sz val="13"/>
        <color theme="1"/>
        <rFont val="Calibri"/>
        <family val="2"/>
        <charset val="204"/>
        <scheme val="minor"/>
      </rPr>
      <t xml:space="preserve">; </t>
    </r>
  </si>
  <si>
    <t>дата и час:</t>
  </si>
  <si>
    <t>Дълго отлежаване е нужно само на силно алкохолни и силно охмелени бири, иначе не си заслужава, защото няма да се постигне нещо по-добро.
Аз напоследък най-много си харесвам бирите на около 20-30 дена след заквасването, след това осезаемо пада малцовият вкус, след него започва да изтънява аромата на хмел и накрая започва и горчивината да спада.</t>
  </si>
  <si>
    <t>15 мин. врене на хмел не е за аромат, а за вкус (мекота на горчивината)
За същински аромат се иска силно ароматен хмел и не повече от 5 мин. врене.</t>
  </si>
  <si>
    <t>Магнум - 65м (горчив;  12,7%)</t>
  </si>
  <si>
    <t>Жатец - 5м (ароматен;  за аромат;  3,4%)</t>
  </si>
  <si>
    <t>62-63`C-алкохолна бира,
67-68`C-слабоалкохолна бира с плътно тяло.
А eднотемпературното озахаряване /напр 66`C/
са го въвели американците за по-лесно .</t>
  </si>
  <si>
    <t xml:space="preserve">US-05, a те свалят екстракта много. </t>
  </si>
  <si>
    <t>Сипване газиращият елемен в нов съд, преливане от ферментатора, бутилиране</t>
  </si>
  <si>
    <t>Жатец - 15мин (ароматен;  за мекота;  3,4%)</t>
  </si>
  <si>
    <t>Финикс Окорон</t>
  </si>
  <si>
    <t>спиртомер</t>
  </si>
  <si>
    <t>йод</t>
  </si>
  <si>
    <t>меря и като видя пеха-то да тръгне нагоре - веднага махам от утайките</t>
  </si>
  <si>
    <t>ирландски мъх -  1гр / 20л boil size</t>
  </si>
  <si>
    <t>Колко гр. е пивната мъст, първите литри</t>
  </si>
  <si>
    <t>Залагане на мини стартер с първите литри</t>
  </si>
  <si>
    <r>
      <rPr>
        <b/>
        <sz val="13"/>
        <color theme="1"/>
        <rFont val="Calibri"/>
        <family val="2"/>
        <charset val="204"/>
        <scheme val="minor"/>
      </rPr>
      <t>Batch Size</t>
    </r>
    <r>
      <rPr>
        <sz val="13"/>
        <color theme="1"/>
        <rFont val="Calibri"/>
        <family val="2"/>
        <charset val="204"/>
        <scheme val="minor"/>
      </rPr>
      <t xml:space="preserve"> - литри мъст в казана на 20°С</t>
    </r>
  </si>
  <si>
    <t>Pale Ale - Вайерман</t>
  </si>
  <si>
    <t>Carapils - Вайерман</t>
  </si>
  <si>
    <t>Carafa Special Type 1</t>
  </si>
  <si>
    <t>Колко е захарността в казана преди варенето</t>
  </si>
  <si>
    <t>АBV = (начален екстракт - краен екстракт)*0,52</t>
  </si>
  <si>
    <t>Еквивалент на захар в грамове за литър мъст</t>
  </si>
  <si>
    <t>Нужно количество неферментирала мъст</t>
  </si>
  <si>
    <t>Измерена захарност на отделената мъст в °P</t>
  </si>
  <si>
    <t>Промиване - бавно с разбъркване, до 2°Р</t>
  </si>
  <si>
    <t>При промиването започваш от около 19-20% колкото е сладката пивна мъст и постепенно с преминаването на водата през триците тя извлича останалия в тях екстракт като постоянно пада от 19 до 2 %
Когато от чучура тече с 2% , в тенджерата се е събрала мъст с около 10-11% екстракт.
След варенето той се покачва до 12-13% според рецептата и конкретния сетъп на домашния пивовар.
За по-слаби бири може да се увеличи водата за озахаряване до 1:4 и пак да се промие с още 4л. , за по-силни е обратното : озахаряване с 2.5л. на кг. малц и промиване с 3 - 3.5л.
Тогава обаче в триците остава неизвлечен екстракт и ефективността пада.
Поради това и най-голяма ефективност (екстрактивност) има при слабите бири.</t>
  </si>
  <si>
    <t>Пеха 4.5 преди ферментацията ми се вижда много ниско. Май не си калибрирал преди мерене.
Вземи една евтина бира от магазина - да е с поне 10.5 екстракт и след като отсипеш в чаша малко за меренето - остави го да се стопли до 20гр. , мушни в него пеха-метъра и след 1 мин. започни да въртиш винтчето отзад с отвертката докато покаже 4.5
След това измери каквото ще мериш, но то вече е започнало да ферментира, а от там и да пада PH-то.
Преди бутилирането измери и тогава очаквай да е 4.5
По време на озахаряването обикновено е 5.6-5.9, а го търсим да падне до 5.1-5.2 като добавяме млечна киселина или кисел малц.
По време на варката е около 5.7 , а го търсим да е 5.2-5.3.
Чак след главната ферментация пада до 4.5
Ако започне да се качва след като е паднало до 4.5 - значи имаме автолиза на дрождите и е нужно да се декантира бирата и да се изхвърли утайката. Или директно да се бутилира.</t>
  </si>
  <si>
    <t>йодна проба + машаут на 76°С</t>
  </si>
  <si>
    <t xml:space="preserve">
Re: Киселинност на ейловете</t>
  </si>
  <si>
    <t>Коригиране до 5,2 pH при 20°С</t>
  </si>
  <si>
    <t>Контролно мерене на pH</t>
  </si>
  <si>
    <t>Филтриране на вода + коригиране до 7 pH при 20°С</t>
  </si>
  <si>
    <r>
      <rPr>
        <b/>
        <sz val="13"/>
        <color theme="1"/>
        <rFont val="Calibri"/>
        <family val="2"/>
        <charset val="204"/>
        <scheme val="minor"/>
      </rPr>
      <t xml:space="preserve">FG </t>
    </r>
    <r>
      <rPr>
        <sz val="13"/>
        <color theme="1"/>
        <rFont val="Calibri"/>
        <family val="2"/>
        <charset val="204"/>
        <scheme val="minor"/>
      </rPr>
      <t>- плътност след края на ферментацията - поне 1/4 от началната</t>
    </r>
  </si>
  <si>
    <t>тъмните бири се правят с много твърда вода…</t>
  </si>
  <si>
    <t>Премиант за чешки тип лагери, Магнум или Херкулес за немски, Чалънджър за английски ейлове, Нъгет или който и да е друг силногорчив американски за американски ейлове и лагери)</t>
  </si>
  <si>
    <t>Аериране, заквасване</t>
  </si>
  <si>
    <t xml:space="preserve">Завиване, нагревател на 22°С </t>
  </si>
  <si>
    <t>Протеаза на 50-55° - вода на 58°С</t>
  </si>
  <si>
    <r>
      <t>Озахаряване</t>
    </r>
    <r>
      <rPr>
        <sz val="13"/>
        <color theme="1"/>
        <rFont val="Calibri"/>
        <family val="2"/>
        <charset val="204"/>
        <scheme val="minor"/>
      </rPr>
      <t xml:space="preserve">  + вода за промиване;  рН 5,2 при 20°С</t>
    </r>
  </si>
  <si>
    <t>Бетаамилазна на 65°</t>
  </si>
  <si>
    <t>Yassno Pivo</t>
  </si>
  <si>
    <t>Pale Ale</t>
  </si>
  <si>
    <t>Doppelbock</t>
  </si>
  <si>
    <t>Мюнхенски тип 1</t>
  </si>
  <si>
    <t>Протеаза на 52° - вода на 58°С</t>
  </si>
  <si>
    <t>Бетаамилазна на 68-70°</t>
  </si>
  <si>
    <t>Алфа амилазна на 70-72°С</t>
  </si>
  <si>
    <t>йодна проба + машаут на 78°С</t>
  </si>
  <si>
    <t>дата, час:</t>
  </si>
  <si>
    <r>
      <t>Междинни измервания:   2д</t>
    </r>
    <r>
      <rPr>
        <u/>
        <sz val="13"/>
        <color theme="1"/>
        <rFont val="Calibri"/>
        <family val="2"/>
        <charset val="204"/>
        <scheme val="minor"/>
      </rPr>
      <t xml:space="preserve">          </t>
    </r>
    <r>
      <rPr>
        <sz val="13"/>
        <color theme="1"/>
        <rFont val="Calibri"/>
        <family val="2"/>
        <charset val="204"/>
        <scheme val="minor"/>
      </rPr>
      <t>;  3д</t>
    </r>
    <r>
      <rPr>
        <u/>
        <sz val="13"/>
        <color theme="1"/>
        <rFont val="Calibri"/>
        <family val="2"/>
        <charset val="204"/>
        <scheme val="minor"/>
      </rPr>
      <t xml:space="preserve">          </t>
    </r>
    <r>
      <rPr>
        <sz val="13"/>
        <color theme="1"/>
        <rFont val="Calibri"/>
        <family val="2"/>
        <charset val="204"/>
        <scheme val="minor"/>
      </rPr>
      <t>;  4д</t>
    </r>
    <r>
      <rPr>
        <u/>
        <sz val="13"/>
        <color theme="1"/>
        <rFont val="Calibri"/>
        <family val="2"/>
        <charset val="204"/>
        <scheme val="minor"/>
      </rPr>
      <t xml:space="preserve">          </t>
    </r>
    <r>
      <rPr>
        <sz val="13"/>
        <color theme="1"/>
        <rFont val="Calibri"/>
        <family val="2"/>
        <charset val="204"/>
        <scheme val="minor"/>
      </rPr>
      <t>;  5д</t>
    </r>
    <r>
      <rPr>
        <u/>
        <sz val="13"/>
        <color theme="1"/>
        <rFont val="Calibri"/>
        <family val="2"/>
        <charset val="204"/>
        <scheme val="minor"/>
      </rPr>
      <t xml:space="preserve">          </t>
    </r>
    <r>
      <rPr>
        <sz val="13"/>
        <color theme="1"/>
        <rFont val="Calibri"/>
        <family val="2"/>
        <charset val="204"/>
        <scheme val="minor"/>
      </rPr>
      <t>;  6д</t>
    </r>
    <r>
      <rPr>
        <u/>
        <sz val="13"/>
        <color theme="1"/>
        <rFont val="Calibri"/>
        <family val="2"/>
        <charset val="204"/>
        <scheme val="minor"/>
      </rPr>
      <t xml:space="preserve">           </t>
    </r>
    <r>
      <rPr>
        <sz val="13"/>
        <color theme="1"/>
        <rFont val="Calibri"/>
        <family val="2"/>
        <charset val="204"/>
        <scheme val="minor"/>
      </rPr>
      <t>;  7д</t>
    </r>
    <r>
      <rPr>
        <u/>
        <sz val="13"/>
        <color theme="1"/>
        <rFont val="Calibri"/>
        <family val="2"/>
        <charset val="204"/>
        <scheme val="minor"/>
      </rPr>
      <t xml:space="preserve">           </t>
    </r>
    <r>
      <rPr>
        <sz val="13"/>
        <color theme="1"/>
        <rFont val="Calibri"/>
        <family val="2"/>
        <charset val="204"/>
        <scheme val="minor"/>
      </rPr>
      <t xml:space="preserve">; </t>
    </r>
  </si>
  <si>
    <t>0-5% ABV</t>
  </si>
  <si>
    <t>5-7% ABV</t>
  </si>
  <si>
    <t>8-10% ABV</t>
  </si>
  <si>
    <t>гр/л маш</t>
  </si>
  <si>
    <t>You will know when you have pitched the right amount of yeast because the high kraeusen stage (the tall foamy cap) will have formed in four hours or less. If it takes longer than 4 hours- don't worry too much. If it takes longer than 24 hours to form- you</t>
  </si>
  <si>
    <t>лв</t>
  </si>
  <si>
    <t>Стопля се водата на 70 (при мен малко повече - 71-72) и след сипването на малца и разбъркването тя пада на 65.
И на 65 става озахаряването, а не на 70.
По време на сипването на малца първите порции малц влизат на 70 градуса, но те ензимите не могат за минута - две да се задействат, че и да се денатурират.
Иначе - оптималните температури за действие на алфа и бета амилазите са :
1. Бета амилаза - 60-62 (над 68 денатурира бързо).
2. Алфа амилаза - 72 (над 76 денатурира).
И за който е забравил - алфата цепи нишестето на едри парчета (декстрини) и малко глюкоза, а бета амилазата накъсва неразклонените вериги на малтоза (две глюкозни молекули с връзка).
Ферментируеми са само малтозата и глюкозата (и малтотриозата но не от всички дрожди), а едрите декстрини дават тяло на бирата.
Когато правим йодна проба , различните оцветявания на йода си имат различни значения - черно и лилаво : има неразградено нишесте, тъмно кафяво с лек зелен отенък : няма нишесте, но все още има дълги вериги и има нужда да се изчака алфа-амилазата да ги донацепи.
Обикновено при еднотемпературно озахаряване на 65 гр. след около 30-40 мин. вече йодната проба не е лилава или черна, но все още не е перфектна.
Аз затова и повишавам температурата на 72 , за да ускоря процеса, а и за да стигна впоследствие 76 за промиването.
Понякога даже не спирам на 72, а направо си качвам до 76, защото от 65 до 76 не става бързо и през това време алфа амилазата е довършила работата.
Протеинова пауза на около 52гр. правя само за лагери и пшенични бири. Правих такава и на тиквената , но само на тиквата с малко малц и вода.
За тези, които имат затруднения с подгряването и за да се избягнат загаряния - ето прост начин за протеинова пауза :
1. Загряване на 2л. вода за всеки кг. малц на темп. 64-65гр.
2. Добавяне на малца и разбъркване - темп. пада на 54гр. (кашата е доста по-гъста от нормалното)
3. Пауза 20 мин. (може и 30 защото заради по-голямата гъстота ензимите действат по-бавно), а през това време в друг съд се завира третия литър вода на кг. малц
4. Влива се въпросния трети литър вряла вода при майша и след разбъркване температурата се фиксира на около 65гр. и се започва главното озахаряване.
За всеки конкретен сетъп тези температури може да варират, а и околната температура е от значение, както и температурата на самия малц</t>
  </si>
  <si>
    <t>На първата снимка водата в клапана е тръгнала в посока към ферментатора , което ще рече че налягането в него е по-малко, а не по-голямо. А това става след като ферментатацията е приключила и температурата в него е спаднала, тъй като няма отделяне на топлина вече и поради това - въглеродният двуокис в него се доразваря още малко в течността и от там пада леко налягането и клапанът засмуква вода.
Според мен е имало много бърза и бурна ферментация, която е останала незабелязана.</t>
  </si>
  <si>
    <t>Mauri Brew Draught</t>
  </si>
  <si>
    <t>11гр/20л</t>
  </si>
  <si>
    <t>нет печ.</t>
  </si>
  <si>
    <t>Един часа пауза за утаяване на белтъците</t>
  </si>
  <si>
    <t>5гр./литър кристална захар - слаба газировка като за ейлове.
7гр./литър - добра газировка, става и за лагери
8,9,10 гр. - силна газировка, граничеща с прегазиране - да се ползва само за пенливи лагери и вайцен (за вайцена - 8гр.)</t>
  </si>
  <si>
    <t>температурата на поднасяне (наливане в чашата) също влияе на пяната - по-висока темп. = по-голяма пяна , но и по-бързо спадане.</t>
  </si>
  <si>
    <t>Колко гр. е пивната мъст</t>
  </si>
  <si>
    <t>в началото</t>
  </si>
  <si>
    <t>в края</t>
  </si>
  <si>
    <t>в казана</t>
  </si>
  <si>
    <t>начало:</t>
  </si>
  <si>
    <t>IBU - 10</t>
  </si>
  <si>
    <r>
      <t xml:space="preserve">Зделяне за мини </t>
    </r>
    <r>
      <rPr>
        <u/>
        <sz val="13"/>
        <color theme="1"/>
        <rFont val="Calibri"/>
        <family val="2"/>
        <charset val="204"/>
        <scheme val="minor"/>
      </rPr>
      <t>стартер</t>
    </r>
    <r>
      <rPr>
        <sz val="13"/>
        <color theme="1"/>
        <rFont val="Calibri"/>
        <family val="2"/>
        <charset val="204"/>
        <scheme val="minor"/>
      </rPr>
      <t xml:space="preserve"> + </t>
    </r>
    <r>
      <rPr>
        <u/>
        <sz val="13"/>
        <color theme="1"/>
        <rFont val="Calibri"/>
        <family val="2"/>
        <charset val="204"/>
        <scheme val="minor"/>
      </rPr>
      <t>газировка</t>
    </r>
  </si>
  <si>
    <t>Аериране, Заквасване, Нагревател</t>
  </si>
  <si>
    <t>OG - 1,09</t>
  </si>
  <si>
    <t>ABV - 8</t>
  </si>
  <si>
    <t>Карамюних тип 2</t>
  </si>
  <si>
    <t>Преместване в друг съд + прецеждане,   сипване газиращият елемен</t>
  </si>
  <si>
    <t>Халертау  (ароматен;  6,3%)</t>
  </si>
  <si>
    <r>
      <rPr>
        <b/>
        <u/>
        <sz val="13"/>
        <color theme="1"/>
        <rFont val="Calibri"/>
        <family val="2"/>
        <charset val="204"/>
        <scheme val="minor"/>
      </rPr>
      <t>Охлаждане:</t>
    </r>
    <r>
      <rPr>
        <b/>
        <sz val="13"/>
        <color theme="1"/>
        <rFont val="Calibri"/>
        <family val="2"/>
        <charset val="204"/>
        <scheme val="minor"/>
      </rPr>
      <t xml:space="preserve"> OG</t>
    </r>
    <r>
      <rPr>
        <sz val="13"/>
        <color theme="1"/>
        <rFont val="Calibri"/>
        <family val="2"/>
        <charset val="204"/>
        <scheme val="minor"/>
      </rPr>
      <t xml:space="preserve"> - екстракт преди заквасване </t>
    </r>
  </si>
  <si>
    <r>
      <rPr>
        <b/>
        <sz val="13"/>
        <color theme="1"/>
        <rFont val="Calibri"/>
        <family val="2"/>
        <charset val="204"/>
        <scheme val="minor"/>
      </rPr>
      <t xml:space="preserve">Batch Size </t>
    </r>
    <r>
      <rPr>
        <sz val="13"/>
        <color theme="1"/>
        <rFont val="Calibri"/>
        <family val="2"/>
        <charset val="204"/>
        <scheme val="minor"/>
      </rPr>
      <t>- литри мъст във ферментатора   (π.r².h)</t>
    </r>
  </si>
  <si>
    <t>неделя</t>
  </si>
  <si>
    <t>ГРАФИК  Yassno Pivo    31.01.2016г     9:15ч</t>
  </si>
  <si>
    <t>перманентен ммаркер</t>
  </si>
  <si>
    <t>батерии</t>
  </si>
  <si>
    <t>лейка</t>
  </si>
  <si>
    <t>колба/епруветка</t>
  </si>
  <si>
    <t>кран за чешмата</t>
  </si>
  <si>
    <t>четка с дълъг косъм</t>
  </si>
  <si>
    <t>рефрактомер/захаромер</t>
  </si>
  <si>
    <t>Pilsner Malt</t>
  </si>
  <si>
    <t>MAGNUM   (горчив:  12,7%)</t>
  </si>
  <si>
    <t>IBU - 20</t>
  </si>
  <si>
    <t>Wheat Malt (пшеничен малц)</t>
  </si>
  <si>
    <t>Промиване - бавно</t>
  </si>
  <si>
    <t>Safbrew WB-06 на 18°С</t>
  </si>
  <si>
    <t>Завиране на водата за промиване</t>
  </si>
  <si>
    <t>Протеаза на 55°С - размесване на  38°С</t>
  </si>
  <si>
    <t>Бетаамилазна на 66°</t>
  </si>
  <si>
    <r>
      <rPr>
        <b/>
        <sz val="13"/>
        <color theme="1"/>
        <rFont val="Calibri"/>
        <family val="2"/>
        <charset val="204"/>
        <scheme val="minor"/>
      </rPr>
      <t>Boil Size</t>
    </r>
    <r>
      <rPr>
        <sz val="13"/>
        <color theme="1"/>
        <rFont val="Calibri"/>
        <family val="2"/>
        <charset val="204"/>
        <scheme val="minor"/>
      </rPr>
      <t xml:space="preserve"> - литри пивната мъст преди варене</t>
    </r>
  </si>
  <si>
    <t>ГРАФИК  ПШЕНИЧНО</t>
  </si>
  <si>
    <t>настъргани портокали кори в чорапче</t>
  </si>
  <si>
    <t>счукан кориандър в чорапче</t>
  </si>
  <si>
    <t>За предимно карамфилен профил, температурата на ферментация трябва да бъде между 15 и 17 градуса, но ферментацията ще продължи малко по-дълго време.</t>
  </si>
  <si>
    <t>За балансиран профил "карамфил - банан" - температура на ферментация между 18 и 21 градуса.</t>
  </si>
  <si>
    <t>За предимно банан и дъвка - температура на ферментация между 22 и 25 градуса.</t>
  </si>
  <si>
    <t>край:</t>
  </si>
  <si>
    <r>
      <t xml:space="preserve"> </t>
    </r>
    <r>
      <rPr>
        <b/>
        <sz val="13"/>
        <color theme="1"/>
        <rFont val="Calibri"/>
        <family val="2"/>
        <charset val="204"/>
        <scheme val="minor"/>
      </rPr>
      <t>OG</t>
    </r>
    <r>
      <rPr>
        <sz val="13"/>
        <color theme="1"/>
        <rFont val="Calibri"/>
        <family val="2"/>
        <charset val="204"/>
        <scheme val="minor"/>
      </rPr>
      <t xml:space="preserve"> - екстракт преди заквасване </t>
    </r>
  </si>
  <si>
    <t>правилото:при тъмно пиво 1;2,5(3),при светло пиво 1:3(4).При първия случай първия екстракт трябва да е около 20*Плато,при втория около16*Плато.
Промиването става винаги с температура на водата 75/80*С,за да се разтворят захарите,но да не се пресечат белтъците.
Промиваш,докато ,при контрол с рефрактометъра,течащата мъст достигне 3-5 *Плато.
Успех и наздраве!</t>
  </si>
  <si>
    <r>
      <rPr>
        <b/>
        <sz val="13"/>
        <color theme="1"/>
        <rFont val="Calibri"/>
        <family val="2"/>
        <charset val="204"/>
      </rPr>
      <t xml:space="preserve">∑ </t>
    </r>
    <r>
      <rPr>
        <b/>
        <sz val="13"/>
        <color theme="1"/>
        <rFont val="Calibri"/>
        <family val="2"/>
        <charset val="204"/>
        <scheme val="minor"/>
      </rPr>
      <t>време:</t>
    </r>
  </si>
  <si>
    <t>№ 10</t>
  </si>
  <si>
    <t>Бирата ще стане и с утайките във ферментатора, но има голяма опасност да се вкисне бързо.
Следователно ще трябва да я пиеш бързо и на следващата бира да не вкарваш толкова много от тези утайки във ферментатора.
За всеки процес от зърното до халбата си има специфики и чалъми, които човек сам установява с течение на времето.
Няма как от първия път всичко да се изясни.</t>
  </si>
  <si>
    <t>Накисване на портокалите</t>
  </si>
  <si>
    <t>Залагане на ледени шишета</t>
  </si>
  <si>
    <t>Зареждане фотото</t>
  </si>
  <si>
    <r>
      <t xml:space="preserve">Йодна проба + машаут на </t>
    </r>
    <r>
      <rPr>
        <b/>
        <sz val="13"/>
        <color theme="1"/>
        <rFont val="Calibri"/>
        <family val="2"/>
        <charset val="204"/>
        <scheme val="minor"/>
      </rPr>
      <t>75°С</t>
    </r>
  </si>
  <si>
    <t>Зделяне за газировка и стартер</t>
  </si>
  <si>
    <r>
      <t>Залагане на стартер:</t>
    </r>
    <r>
      <rPr>
        <u/>
        <sz val="13"/>
        <color theme="1"/>
        <rFont val="Calibri"/>
        <family val="2"/>
        <charset val="204"/>
        <scheme val="minor"/>
      </rPr>
      <t xml:space="preserve">    20:20    </t>
    </r>
    <r>
      <rPr>
        <sz val="13"/>
        <color theme="1"/>
        <rFont val="Calibri"/>
        <family val="2"/>
        <charset val="204"/>
        <scheme val="minor"/>
      </rPr>
      <t>ч;</t>
    </r>
  </si>
  <si>
    <r>
      <rPr>
        <b/>
        <sz val="13"/>
        <color theme="1"/>
        <rFont val="Calibri"/>
        <family val="2"/>
        <charset val="204"/>
        <scheme val="minor"/>
      </rPr>
      <t xml:space="preserve">FG </t>
    </r>
    <r>
      <rPr>
        <sz val="13"/>
        <color theme="1"/>
        <rFont val="Calibri"/>
        <family val="2"/>
        <charset val="204"/>
        <scheme val="minor"/>
      </rPr>
      <t>- плътност след ферментацията - 1/4 от началната</t>
    </r>
  </si>
  <si>
    <r>
      <rPr>
        <b/>
        <sz val="13"/>
        <color theme="1"/>
        <rFont val="Calibri"/>
        <family val="2"/>
        <charset val="204"/>
        <scheme val="minor"/>
      </rPr>
      <t>Batch Size</t>
    </r>
    <r>
      <rPr>
        <sz val="13"/>
        <color theme="1"/>
        <rFont val="Calibri"/>
        <family val="2"/>
        <charset val="204"/>
        <scheme val="minor"/>
      </rPr>
      <t xml:space="preserve"> - литри мъст след варене</t>
    </r>
  </si>
  <si>
    <r>
      <rPr>
        <b/>
        <sz val="13"/>
        <color theme="1"/>
        <rFont val="Calibri"/>
        <family val="2"/>
        <charset val="204"/>
        <scheme val="minor"/>
      </rPr>
      <t xml:space="preserve">Batch Size </t>
    </r>
    <r>
      <rPr>
        <sz val="13"/>
        <color theme="1"/>
        <rFont val="Calibri"/>
        <family val="2"/>
        <charset val="204"/>
        <scheme val="minor"/>
      </rPr>
      <t>- литри във ферментатора</t>
    </r>
  </si>
  <si>
    <r>
      <t>Охлаждане:</t>
    </r>
    <r>
      <rPr>
        <sz val="13"/>
        <color theme="1"/>
        <rFont val="Calibri"/>
        <family val="2"/>
        <charset val="204"/>
        <scheme val="minor"/>
      </rPr>
      <t xml:space="preserve">  с ледени бутилки, прехвърляне с прецеждане</t>
    </r>
  </si>
  <si>
    <r>
      <t>Промиване с разбъркване</t>
    </r>
    <r>
      <rPr>
        <sz val="13"/>
        <color theme="1"/>
        <rFont val="Calibri"/>
        <family val="2"/>
        <charset val="204"/>
        <scheme val="minor"/>
      </rPr>
      <t xml:space="preserve"> - прехвърляне с канче</t>
    </r>
  </si>
  <si>
    <r>
      <rPr>
        <b/>
        <sz val="13"/>
        <color theme="1"/>
        <rFont val="Calibri"/>
        <family val="2"/>
        <charset val="204"/>
        <scheme val="minor"/>
      </rPr>
      <t>Бутилиране</t>
    </r>
    <r>
      <rPr>
        <sz val="13"/>
        <color theme="1"/>
        <rFont val="Calibri"/>
        <family val="2"/>
        <charset val="204"/>
        <scheme val="minor"/>
      </rPr>
      <t xml:space="preserve"> - прехвърляне, прецеждане, газиране</t>
    </r>
  </si>
  <si>
    <t xml:space="preserve">дата:  </t>
  </si>
  <si>
    <r>
      <t xml:space="preserve">Аериране, Заквасване, Нагревател на </t>
    </r>
    <r>
      <rPr>
        <b/>
        <sz val="13"/>
        <color theme="1"/>
        <rFont val="Calibri"/>
        <family val="2"/>
        <charset val="204"/>
        <scheme val="minor"/>
      </rPr>
      <t>17°С</t>
    </r>
  </si>
  <si>
    <t>SRM - 3,70</t>
  </si>
  <si>
    <t>OG - 1053</t>
  </si>
  <si>
    <t>°P - 13</t>
  </si>
  <si>
    <t>FG - 1012</t>
  </si>
  <si>
    <t>ABV - 6,2</t>
  </si>
  <si>
    <r>
      <t>Междинни измервания: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rPr>
      <t>°</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t>
    </r>
  </si>
  <si>
    <t>Wit bier - 3та ГАРГА</t>
  </si>
  <si>
    <r>
      <t xml:space="preserve">Филтриране на вода + коригиране до </t>
    </r>
    <r>
      <rPr>
        <b/>
        <sz val="13"/>
        <color theme="1"/>
        <rFont val="Calibri"/>
        <family val="2"/>
        <charset val="204"/>
        <scheme val="minor"/>
      </rPr>
      <t>7 pH при 20°С</t>
    </r>
  </si>
  <si>
    <r>
      <t>Озахаряване - БЪРКАЛКА</t>
    </r>
    <r>
      <rPr>
        <sz val="13"/>
        <color theme="1"/>
        <rFont val="Calibri"/>
        <family val="2"/>
        <charset val="204"/>
        <scheme val="minor"/>
      </rPr>
      <t xml:space="preserve">  рН 5,2 при 20°С</t>
    </r>
  </si>
  <si>
    <t>№ 11</t>
  </si>
  <si>
    <r>
      <t xml:space="preserve">Залагане на </t>
    </r>
    <r>
      <rPr>
        <b/>
        <sz val="13"/>
        <color theme="1"/>
        <rFont val="Calibri"/>
        <family val="2"/>
        <charset val="204"/>
        <scheme val="minor"/>
      </rPr>
      <t>ледени шишета</t>
    </r>
  </si>
  <si>
    <t>план бут.</t>
  </si>
  <si>
    <t>на хладилник</t>
  </si>
  <si>
    <t>магнум</t>
  </si>
  <si>
    <t>жатец</t>
  </si>
  <si>
    <t>мъх</t>
  </si>
  <si>
    <r>
      <rPr>
        <b/>
        <sz val="13"/>
        <color theme="1"/>
        <rFont val="Calibri"/>
        <family val="2"/>
        <charset val="204"/>
        <scheme val="minor"/>
      </rPr>
      <t>Филтриране</t>
    </r>
    <r>
      <rPr>
        <sz val="13"/>
        <color theme="1"/>
        <rFont val="Calibri"/>
        <family val="2"/>
        <charset val="204"/>
        <scheme val="minor"/>
      </rPr>
      <t xml:space="preserve"> на вода</t>
    </r>
  </si>
  <si>
    <t>Озахаряване</t>
  </si>
  <si>
    <t>Размесване на  38°С - Протеаза на 55°С</t>
  </si>
  <si>
    <t>Йодна проба</t>
  </si>
  <si>
    <t>Машаут на 75°С</t>
  </si>
  <si>
    <t>Ппрехвърляне с канче - Промиване</t>
  </si>
  <si>
    <t>портокалови кори</t>
  </si>
  <si>
    <t>Заквасване, Нагревател на 17°С</t>
  </si>
  <si>
    <t>общо бут</t>
  </si>
  <si>
    <r>
      <t>Охлаждане:</t>
    </r>
    <r>
      <rPr>
        <sz val="13"/>
        <color theme="1"/>
        <rFont val="Calibri"/>
        <family val="2"/>
        <charset val="204"/>
        <scheme val="minor"/>
      </rPr>
      <t xml:space="preserve">  с прецеждане                    </t>
    </r>
    <r>
      <rPr>
        <b/>
        <sz val="13"/>
        <color theme="1"/>
        <rFont val="Calibri"/>
        <family val="2"/>
        <charset val="204"/>
        <scheme val="minor"/>
      </rPr>
      <t>от, до, общо:</t>
    </r>
  </si>
  <si>
    <r>
      <rPr>
        <b/>
        <sz val="13"/>
        <rFont val="Calibri"/>
        <family val="2"/>
        <charset val="204"/>
        <scheme val="minor"/>
      </rPr>
      <t>Завиране</t>
    </r>
    <r>
      <rPr>
        <sz val="13"/>
        <rFont val="Calibri"/>
        <family val="2"/>
        <charset val="204"/>
        <scheme val="minor"/>
      </rPr>
      <t xml:space="preserve"> на водата за промиване</t>
    </r>
  </si>
  <si>
    <t>вря много добре, с голяяям ключ - не се изпраи повече от 2-3 литра</t>
  </si>
  <si>
    <t>като метнах на куп хмела изкипя</t>
  </si>
  <si>
    <t>трябваше да рехидратирам дрождите, с наръсване не се разпределят добре</t>
  </si>
  <si>
    <r>
      <t>Измервания: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rPr>
      <t>°</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t>
    </r>
  </si>
  <si>
    <t>Резултати:</t>
  </si>
  <si>
    <t>охлаждането с ледени бутилки е супер ефективно</t>
  </si>
  <si>
    <t>като цяло, всичко мина много леко</t>
  </si>
  <si>
    <t>ферментацията мина за 4 дни, по външни белези</t>
  </si>
  <si>
    <t>много малка утайка във ферментатора</t>
  </si>
  <si>
    <t>хубаво натиснах майша и взех всичко от дъното на лаутертюна ~2,5л</t>
  </si>
  <si>
    <r>
      <rPr>
        <b/>
        <sz val="13"/>
        <color theme="1"/>
        <rFont val="Calibri"/>
        <family val="2"/>
        <charset val="204"/>
        <scheme val="minor"/>
      </rPr>
      <t>Boil Size</t>
    </r>
    <r>
      <rPr>
        <sz val="13"/>
        <color theme="1"/>
        <rFont val="Calibri"/>
        <family val="2"/>
        <charset val="204"/>
        <scheme val="minor"/>
      </rPr>
      <t xml:space="preserve"> - л мъст преди варене (π.r².h)                  r, h:</t>
    </r>
  </si>
  <si>
    <t>Време варка</t>
  </si>
  <si>
    <t>Време охлаждане</t>
  </si>
  <si>
    <t>Време ферментация</t>
  </si>
  <si>
    <t>СИФОНЕН СЪД ЗА ПЪЛНЕНЕ + ПРОБКА ЗА ПЪЛНЕНЕ</t>
  </si>
  <si>
    <t>Декокция !
За 90 л. бидон се предполага да има около 20 кг. малц вътре и 60-80л. вода.
Минаването от 52 до 66гр. ще стане по формулата :
кг-декокция = кг-общо*(66-52)/(95-52)
или за 20кг. малц и 60л. вода се получава 80*14/43=26kg.
Т.е. без да топлим с нагревател целия обем на майша можем да заврим 26кг в друг съд (30-40 литров казан ако е емайлиран е 45 лв.) и след добавянето им и размесването да повишат температурата от 52 на 66 и да започне главното озахаряване.
Следващата пауза от 72 гр. се достига с още по-малко декокционно количество : 16.5кг.
А до температура на промиване 78 гр. достигаме чрез третата декокция с 21кг.
Ако си имал досега тенджера 21-26л. спокойно може да декокстваш на един газов котлон с непрекъснато бъркане.
Проблем е само точното отчитане на обем или тегло. Понеже декокционният материал пари</t>
  </si>
  <si>
    <t>КАЗАН</t>
  </si>
  <si>
    <t>БИДОН</t>
  </si>
  <si>
    <t>Време бутилиране</t>
  </si>
  <si>
    <t>работа</t>
  </si>
  <si>
    <t>инвест+вр</t>
  </si>
  <si>
    <t>газ</t>
  </si>
  <si>
    <t>5гр./л захар - слаба газировка като за ейлове.</t>
  </si>
  <si>
    <t>7гр./литър - добра газировка, става и за лагери</t>
  </si>
  <si>
    <t>8,9,10 гр. - силна, граничи с прегазиране - само за пенливи лагери и вайцен (за вайцена - 8гр.)</t>
  </si>
  <si>
    <t>IBU - 25</t>
  </si>
  <si>
    <t>маркуч гумен</t>
  </si>
  <si>
    <t>затварачка</t>
  </si>
  <si>
    <t>рефрактомер оптичен с две скали</t>
  </si>
  <si>
    <t>продаден казан 90л</t>
  </si>
  <si>
    <t>БИРОДНЕВНИК</t>
  </si>
  <si>
    <t>Та реших да се пробвам и аз в пивоварството. Отзивите за домашната бира са добри, пък и чух, че 20л бира излизат 4лв. Еми не са 4лв, но все пак излиза около 0,45 лв за биричка (0,5л), кето си е супер, а мерак за това си имам от одавна :)</t>
  </si>
  <si>
    <t>№ 12</t>
  </si>
  <si>
    <t>∑ вр. старт</t>
  </si>
  <si>
    <t>Машаут на 78°С</t>
  </si>
  <si>
    <t>Пушен с бук ечемичен малц (Раух - Rauch)</t>
  </si>
  <si>
    <t>RAUCH BIER</t>
  </si>
  <si>
    <t>*12,56</t>
  </si>
  <si>
    <t>ГРАФИК</t>
  </si>
  <si>
    <r>
      <t>Промиване с 80°С вода (до 2°Р)</t>
    </r>
    <r>
      <rPr>
        <sz val="13"/>
        <color theme="1"/>
        <rFont val="Calibri"/>
        <family val="2"/>
        <charset val="204"/>
        <scheme val="minor"/>
      </rPr>
      <t xml:space="preserve"> с канче</t>
    </r>
  </si>
  <si>
    <t>час начало</t>
  </si>
  <si>
    <t>час край</t>
  </si>
  <si>
    <r>
      <t>Измервания: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rPr>
      <t>°</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   ден</t>
    </r>
    <r>
      <rPr>
        <u/>
        <sz val="13"/>
        <color theme="1"/>
        <rFont val="Calibri"/>
        <family val="2"/>
        <charset val="204"/>
        <scheme val="minor"/>
      </rPr>
      <t xml:space="preserve">        </t>
    </r>
    <r>
      <rPr>
        <sz val="13"/>
        <color theme="1"/>
        <rFont val="Calibri"/>
        <family val="2"/>
        <charset val="204"/>
        <scheme val="minor"/>
      </rPr>
      <t xml:space="preserve"> /</t>
    </r>
    <r>
      <rPr>
        <u/>
        <sz val="13"/>
        <color theme="1"/>
        <rFont val="Calibri"/>
        <family val="2"/>
        <charset val="204"/>
        <scheme val="minor"/>
      </rPr>
      <t xml:space="preserve">         </t>
    </r>
    <r>
      <rPr>
        <sz val="13"/>
        <color theme="1"/>
        <rFont val="Calibri"/>
        <family val="2"/>
        <charset val="204"/>
        <scheme val="minor"/>
      </rPr>
      <t>°Р</t>
    </r>
  </si>
  <si>
    <t xml:space="preserve"> </t>
  </si>
  <si>
    <t>Мъст за карбонизация и следващ стартер</t>
  </si>
  <si>
    <t>CARAMUNICH® TYPE 2  Вайерман</t>
  </si>
  <si>
    <t>Халертауер - Мителфрю (ароматен;  2,9%)</t>
  </si>
  <si>
    <t>№ 13</t>
  </si>
  <si>
    <t>Жатец  (ароматен:  3,4%)</t>
  </si>
  <si>
    <t>Жатец  (ароматен: 3,17%)</t>
  </si>
  <si>
    <t>гр/л boil</t>
  </si>
  <si>
    <t>Batch Size - литри във ферментатора</t>
  </si>
  <si>
    <t xml:space="preserve"> OG - екстракт преди заквасване </t>
  </si>
  <si>
    <t>FG - плътност след ферментацията - 1/4 от началната</t>
  </si>
  <si>
    <t>Бутилиране - прехвърляне, прецеждане, газиране</t>
  </si>
  <si>
    <t>Охлаждане на първите литри за мини стартер</t>
  </si>
  <si>
    <t xml:space="preserve">Boil Size - л мъст преди варене (r².h.π) </t>
  </si>
  <si>
    <t>Заквасване, Нагревател на 19°С</t>
  </si>
  <si>
    <t xml:space="preserve">  от, до: </t>
  </si>
  <si>
    <t>∑ вр, старт</t>
  </si>
  <si>
    <t>8-10 гр. - силна, граничи с прегазиране - само за пенливи лагери и вайцен (за вайцена - 8гр.)</t>
  </si>
  <si>
    <t>Коригиране с вода</t>
  </si>
  <si>
    <t>литри, до Р</t>
  </si>
  <si>
    <t>Бетаамилазна на 68°</t>
  </si>
  <si>
    <t>PVC бутилката втвърди за:</t>
  </si>
  <si>
    <t>Промиване на дрожди. Подготвям едно шише от минерална вода поне 3 литрово и го дезинфекцирам с Окорон. След това преварявам литър до литър и половина вода, която охлаждам до стайна темпаратура. Когато прехвърля бирата преди бутилиране в друг съд, изливам преварената вода във ферментатора, хубаво разклащам и я наливам всичко в бутилката от минерална вода. Оставям я да се утай добре (през това време си бутилирам бирата), след което подготвям няколко буркана, които измивам и дезинфекцирам с Окорон. Прехвърлям внимателно течността от бутилката по бурканите, като внимавам да не влезе от утайката (в нея остават всички белтъци, ако има хмелови частици и разбира се умрели дрождеви клетки). След това бурканите прибирам в хладилника на студено и до няколко дни те се утаяват много добре. Получената утайка представлява промитите дрожди. Обикновено си отделям и последната бира от ферментатора, която след това сипвам върху дрождите. Има възможност да се прехвърлят в един буркан, с цел оптимизиране на мястото за съхранение. Така промити дрожди съм съхранявал и използвал след около 2 месеца и си бяха супер. За повече време не мога да докладвам, но в интернет има информация за доста по-голям срок на съхранение. Разбира се преди да ги използвам им правя стартер, за да съм сигурен, че са наред преди да заквася с тях :)</t>
  </si>
  <si>
    <t>CARAMUNICH® TYPE 2 (Карамелен мюнхенски малц тип 2) Вайерман Гер</t>
  </si>
  <si>
    <t>Копромат - нова рецепта</t>
  </si>
  <si>
    <t>MAGNUM   (горчив:  13,8%)</t>
  </si>
  <si>
    <t>Nottingham Ale</t>
  </si>
  <si>
    <t>литри,  Р</t>
  </si>
  <si>
    <t>IBU - 30</t>
  </si>
  <si>
    <t>ABV - ?</t>
  </si>
  <si>
    <t xml:space="preserve">час: </t>
  </si>
  <si>
    <t>Хмелно чайче</t>
  </si>
  <si>
    <t>МАЯ! ПО-ЕВТИНО Е, СТИГА ЕКСПЕРИМЕНТИ</t>
  </si>
  <si>
    <r>
      <t xml:space="preserve">Колко гр. е пивната мъст      </t>
    </r>
    <r>
      <rPr>
        <b/>
        <sz val="13"/>
        <color theme="1"/>
        <rFont val="Calibri"/>
        <family val="2"/>
        <charset val="204"/>
        <scheme val="minor"/>
      </rPr>
      <t xml:space="preserve">  начало, край, общо</t>
    </r>
  </si>
  <si>
    <t xml:space="preserve">Boil Size - л мъст преди варене (r².π.h) </t>
  </si>
  <si>
    <r>
      <t>Охлаждане до 20°С</t>
    </r>
    <r>
      <rPr>
        <sz val="13"/>
        <color theme="1"/>
        <rFont val="Calibri"/>
        <family val="2"/>
        <charset val="204"/>
        <scheme val="minor"/>
      </rPr>
      <t xml:space="preserve">                              </t>
    </r>
    <r>
      <rPr>
        <b/>
        <sz val="13"/>
        <color theme="1"/>
        <rFont val="Calibri"/>
        <family val="2"/>
        <charset val="204"/>
        <scheme val="minor"/>
      </rPr>
      <t>от, до, общо:</t>
    </r>
  </si>
  <si>
    <t>час:</t>
  </si>
  <si>
    <t xml:space="preserve">OG - екстракт преди заквасване </t>
  </si>
  <si>
    <r>
      <t>Промиване с 80°С вода</t>
    </r>
    <r>
      <rPr>
        <sz val="13"/>
        <color theme="1"/>
        <rFont val="Calibri"/>
        <family val="2"/>
        <charset val="204"/>
        <scheme val="minor"/>
      </rPr>
      <t xml:space="preserve"> - първите литри за стартер</t>
    </r>
  </si>
  <si>
    <r>
      <t xml:space="preserve">Измервания:                                       ден 3 / 5,3 </t>
    </r>
    <r>
      <rPr>
        <sz val="13"/>
        <color theme="1"/>
        <rFont val="Calibri"/>
        <family val="2"/>
        <charset val="204"/>
      </rPr>
      <t>°</t>
    </r>
    <r>
      <rPr>
        <sz val="13"/>
        <color theme="1"/>
        <rFont val="Calibri"/>
        <family val="2"/>
        <charset val="204"/>
        <scheme val="minor"/>
      </rPr>
      <t>Р;   ден 5 / 3,8 °Р;   ден 7 / 3,8 °Р;</t>
    </r>
  </si>
  <si>
    <t>Загряване до 80гр</t>
  </si>
  <si>
    <t xml:space="preserve">Безалкохолна пауза </t>
  </si>
  <si>
    <t>Прежвърляне във ферментатора</t>
  </si>
  <si>
    <t>Охлаждане</t>
  </si>
  <si>
    <r>
      <t>Охлаждане до 20°С</t>
    </r>
    <r>
      <rPr>
        <sz val="13"/>
        <color theme="1"/>
        <rFont val="Calibri"/>
        <family val="2"/>
        <charset val="204"/>
        <scheme val="minor"/>
      </rPr>
      <t xml:space="preserve">  с прецеждане                   </t>
    </r>
    <r>
      <rPr>
        <b/>
        <sz val="13"/>
        <color theme="1"/>
        <rFont val="Calibri"/>
        <family val="2"/>
        <charset val="204"/>
        <scheme val="minor"/>
      </rPr>
      <t xml:space="preserve"> от, до:</t>
    </r>
  </si>
  <si>
    <t>Дрожди Nottingham</t>
  </si>
  <si>
    <t>Нотингам им дават работна температура до 21 градуса. При 18-19 в помещението, ако ферментацията е бурна, може да вдигне още 3-4 градуса във ферментора и да надхвърлиш работната им температура. Това може да вкара допълнителни аромати. Но не е фатално.</t>
  </si>
  <si>
    <t>Dunkelweizen</t>
  </si>
  <si>
    <t>Viena Malt</t>
  </si>
  <si>
    <t>Wheat Malt pale</t>
  </si>
  <si>
    <t>DUNKELWEIZEN</t>
  </si>
  <si>
    <t xml:space="preserve">OG - </t>
  </si>
  <si>
    <t>°P -</t>
  </si>
  <si>
    <t xml:space="preserve">SRM - </t>
  </si>
  <si>
    <t xml:space="preserve">ABV - </t>
  </si>
  <si>
    <t>Boil Size - л мъст преди варене (r².π.h) в dm</t>
  </si>
  <si>
    <t>https://bsgcraftbrewing.com/weyermann-cara-wheat-25-kg</t>
  </si>
  <si>
    <t>сифонен маркуч с канелка</t>
  </si>
  <si>
    <t>бидон</t>
  </si>
  <si>
    <r>
      <t>Safbrew WB-06</t>
    </r>
    <r>
      <rPr>
        <sz val="13"/>
        <color theme="10"/>
        <rFont val="Calibri"/>
        <family val="2"/>
        <charset val="204"/>
        <scheme val="minor"/>
      </rPr>
      <t xml:space="preserve">    </t>
    </r>
    <r>
      <rPr>
        <u/>
        <sz val="13"/>
        <color theme="10"/>
        <rFont val="Calibri"/>
        <family val="2"/>
        <scheme val="minor"/>
      </rPr>
      <t>ПО-ЕВТИНО Е, СТИГА ЕКСПЕРИМЕНТИ</t>
    </r>
  </si>
  <si>
    <t>Стаут: http://forum.beer-bg.com/viewtopic.php?f=3&amp;t=3324</t>
  </si>
  <si>
    <t>-</t>
  </si>
  <si>
    <t>Ха Милт</t>
  </si>
  <si>
    <t>Размесване на  60°С - Протеаза на 55°С</t>
  </si>
  <si>
    <t>Batch Size - без прецеждане</t>
  </si>
  <si>
    <t>Промиване дрожди</t>
  </si>
  <si>
    <t>корекция</t>
  </si>
  <si>
    <t>CARAAROMA</t>
  </si>
  <si>
    <t xml:space="preserve">CARAFA III </t>
  </si>
  <si>
    <t>CARAFA I</t>
  </si>
  <si>
    <t>Carabelge Malt - Карабелдж малц</t>
  </si>
  <si>
    <t>Northern Brewer   7,1%</t>
  </si>
  <si>
    <t>Safale US-05    ПО-ЕВТИНО Е, СТИГА ЕКСПЕРИМЕНТИ</t>
  </si>
  <si>
    <t>FG - плътност след ферментацията</t>
  </si>
  <si>
    <t>лв/бут</t>
  </si>
  <si>
    <t>OG - 1043</t>
  </si>
  <si>
    <t>FG - 1005</t>
  </si>
  <si>
    <t>°P - 11</t>
  </si>
  <si>
    <t>SRM - 23</t>
  </si>
  <si>
    <t>Caramunich II</t>
  </si>
  <si>
    <t>Carafa II</t>
  </si>
  <si>
    <t>Варене на 80°С</t>
  </si>
  <si>
    <t xml:space="preserve">общо мин: </t>
  </si>
  <si>
    <t>Заквасване, аериране, газиране бутилиране</t>
  </si>
  <si>
    <t>бр бутилки:</t>
  </si>
  <si>
    <t>Бета амилаза  67°С</t>
  </si>
  <si>
    <r>
      <t xml:space="preserve">Завиване на ферментатора - последните </t>
    </r>
    <r>
      <rPr>
        <b/>
        <sz val="13"/>
        <color theme="1"/>
        <rFont val="Calibri"/>
        <family val="2"/>
        <charset val="204"/>
        <scheme val="minor"/>
      </rPr>
      <t>3 дни</t>
    </r>
  </si>
  <si>
    <t>Алфа амилазна на 72°С</t>
  </si>
  <si>
    <t>Протеаза на 55°С</t>
  </si>
  <si>
    <t>Заделяне за следващ стартер на 10°Р</t>
  </si>
  <si>
    <r>
      <t xml:space="preserve">Колко гр. е пивната мъст            </t>
    </r>
    <r>
      <rPr>
        <b/>
        <sz val="13"/>
        <color theme="1"/>
        <rFont val="Calibri"/>
        <family val="2"/>
        <charset val="204"/>
        <scheme val="minor"/>
      </rPr>
      <t xml:space="preserve">  начало, край, общо</t>
    </r>
  </si>
  <si>
    <t>Изгребване на дъното и коригиране с вода</t>
  </si>
  <si>
    <t>Какао</t>
  </si>
  <si>
    <t>портър (английски стил бира - не е лошо и стиловете да научиш :) ) :
5% Карафа (черен малц)
10-15% Камюних или Караарома, или Special W
останалото - Pale Ale малц.
Озахаряването директно с вода : зърно 4:1 на 65 гр. и промиване с 3.5 :1
Хмелове - английски някакви, за ароматичен - Голдинг, Щириан голдинг (словенски) или каквото има английско.
Дрожди Нотингам или S-04
ако решиш да правиш ирландски стаут (като на Гинес) :
10% Карафа, 5% печен ечемик
5% карамюних, останалото пейл ейл
другото същото като за портъра, само че може да увеличиш екстракта до към 13% Плато (или вдигаш грамажа малцове, или намаляваш водата)</t>
  </si>
  <si>
    <t xml:space="preserve">портър
ирландски стаут
</t>
  </si>
  <si>
    <t>Пушен Портър - Smoked Porter</t>
  </si>
  <si>
    <t>Пушен Портър - Smoked Porter
Начална плътност (OG): 1.044 (°P): 11
Крайна плътност (FG): 1.008 (°P): 2
Алкохол (ABV): 4.70 %
Цвят (SRM): 29
Горчивина (IBU): 24
Малц:
61% -Smoked malt - 2,5кг
25% -Munich II - 1кг
7% -Caramunich II - 0,3кг
7% -Carafa II - 0,3кг
Хмел:
10гр - Styrian Dana (13% Alpha) @ 60мин
15гр - Saaz (3.6% Alpha) @ 10мин
Еднотемпературно озахаряване на 65°C за 60мин
Дрожди:
Nottingham ale - 11гр
Ферментация 20°C / 7 дни
Вторична 17°C / 7 дни</t>
  </si>
  <si>
    <t>изпитана рецепта за стаут</t>
  </si>
  <si>
    <t>Stout
Начална плътност (OG): 1.06 (°P): 15
Крайна плътност (FG): 1.016 (°P): 4
Алкохол (ABV): 5.80 %
Цвят (SRM): 40+
Горчивина (IBU): 62
Малц:
70% -Pale ale malt - 3,5кг
10% -Carapils - 0,5кг
8% -Caraaroma - 0,4кг
8% -Carafa II - 0,4кг
4% -Печен ечемик - 0,2кг
Хмел:
30гр - Magnum (13.8% Alpha) @ 60мин
20гр - Aurora (9.2% Alpha) @ 10мин
Еднотемпературно озахаряване на 68°C за 60мин
Дрожди:
Nottingham ale - 11гр
Ферментация 20°C / 10 дни
Вторична 17°C / 7 дни</t>
  </si>
  <si>
    <t>Тодор</t>
  </si>
  <si>
    <t>5th-hokage</t>
  </si>
  <si>
    <t xml:space="preserve"> Martin » 16 Ное 2016, 11:19
Мога да ти дам един съвет, при мене излизат бирите бистри като сълза:
3 дена преди бутилиране, вземаш 1 пакетче желатин и го разтваряш в 100мл вода. Изчакваш да набъбне и после го загряваш на водна баня или в микровълновата, но полека. Да се разтвори напълно, някъде към 60 градуса. После изсипваш в бирата, леко разбъркваш и слагаш на възможно най-студено според възможностите. Ето и резултата: </t>
  </si>
  <si>
    <t>Влади Тодоров</t>
  </si>
  <si>
    <t xml:space="preserve">Martin Marchev </t>
  </si>
  <si>
    <t>Мартин Марчев</t>
  </si>
  <si>
    <t>Сливен</t>
  </si>
  <si>
    <t>София</t>
  </si>
  <si>
    <t>nikolay.illov</t>
  </si>
  <si>
    <t>Николай Илов</t>
  </si>
  <si>
    <t>Костинброд</t>
  </si>
  <si>
    <t>Guca Buca</t>
  </si>
  <si>
    <t>Христо Цочев</t>
  </si>
  <si>
    <t>Dejmos</t>
  </si>
  <si>
    <t>Ивайло Иванов</t>
  </si>
  <si>
    <t>cervesa</t>
  </si>
  <si>
    <t>Темелко Пампов</t>
  </si>
  <si>
    <t>Пазарджик</t>
  </si>
  <si>
    <t>Мая Трифонова</t>
  </si>
  <si>
    <t>Mayosha</t>
  </si>
  <si>
    <t>Stoyan Ninov</t>
  </si>
  <si>
    <t>Стоян Трифонов</t>
  </si>
  <si>
    <t>Мартин Мартинов</t>
  </si>
  <si>
    <t>Mihail</t>
  </si>
  <si>
    <t>Мишо - от Марто</t>
  </si>
  <si>
    <r>
      <t>Промиване: наклонен ЛТ</t>
    </r>
    <r>
      <rPr>
        <sz val="13"/>
        <color theme="1"/>
        <rFont val="Calibri"/>
        <family val="2"/>
        <charset val="204"/>
        <scheme val="minor"/>
      </rPr>
      <t xml:space="preserve"> - първите литри за газировка</t>
    </r>
  </si>
  <si>
    <t>Yassno pivo</t>
  </si>
  <si>
    <t>Компромат</t>
  </si>
  <si>
    <t>3та ГАРГА</t>
  </si>
  <si>
    <t>Spider Pig</t>
  </si>
  <si>
    <t>Портър</t>
  </si>
  <si>
    <t>Номер на ферментацията :</t>
  </si>
  <si>
    <t>Стил и име на рецептата :</t>
  </si>
  <si>
    <t>Дата на зареждане :</t>
  </si>
  <si>
    <t>Вид дрожди :</t>
  </si>
  <si>
    <t>Температура на посяване :</t>
  </si>
  <si>
    <t>Захарност преди ферментацията</t>
  </si>
  <si>
    <t>Отчетени с рефрактомера последователно</t>
  </si>
  <si>
    <t>температура при отчитането в гр. Целзий</t>
  </si>
  <si>
    <t>Реална плътност</t>
  </si>
  <si>
    <t>Реална захарност по Брикс</t>
  </si>
  <si>
    <t>Общи забележки :</t>
  </si>
  <si>
    <t>Дата</t>
  </si>
  <si>
    <t>Час</t>
  </si>
  <si>
    <t>текущо показание в % Брикс</t>
  </si>
  <si>
    <t>не променяйте ако имате рефрактомер с ATC</t>
  </si>
  <si>
    <t>настроени вследствие ефекта от етанола и темп.</t>
  </si>
  <si>
    <t>Дневни забележки :</t>
  </si>
  <si>
    <t>Formula</t>
  </si>
  <si>
    <t>Brix (Plato) = -676.67 + 1286.4*SG - 800.47*(SG^2) + 190.74*(SG^3)</t>
  </si>
  <si>
    <t>SG = 1.001843 - 0.002318474(OB) - 0.000007775(OB^2) - 0.000000034(OB^3) + 0.00574(AB) + 0.00003344(AB^2) + 0.000000086(AB^3)</t>
  </si>
  <si>
    <t>where SG = Specific Gravity, OB = Original Brix, AB = Apparent Brix (Brix Readings During Fermentation)</t>
  </si>
  <si>
    <t>Отчет с реф. в % Брикс</t>
  </si>
  <si>
    <t xml:space="preserve">t° при отчeт в °С </t>
  </si>
  <si>
    <t>ден</t>
  </si>
  <si>
    <t>N. Brewer</t>
  </si>
  <si>
    <t xml:space="preserve">  Стаут</t>
  </si>
  <si>
    <t xml:space="preserve">  Светло</t>
  </si>
  <si>
    <t xml:space="preserve">  Белгийски вит</t>
  </si>
  <si>
    <t xml:space="preserve">  Опушен ейл</t>
  </si>
  <si>
    <t xml:space="preserve">  Ирландско с мед</t>
  </si>
  <si>
    <t xml:space="preserve">  Портър</t>
  </si>
  <si>
    <t>Салама на Санчо</t>
  </si>
  <si>
    <t>Каруца</t>
  </si>
  <si>
    <t>American Stout</t>
  </si>
  <si>
    <t>Extra stout от 27.01.2013 г</t>
  </si>
  <si>
    <t>За 100л:</t>
  </si>
  <si>
    <t>Pilsener malt-16,0 kg</t>
  </si>
  <si>
    <t>Caramunich 1,0 kg</t>
  </si>
  <si>
    <t>Carafa 3- 1,0 kg</t>
  </si>
  <si>
    <t>63С-60 мин.</t>
  </si>
  <si>
    <t>72С-10 мин.</t>
  </si>
  <si>
    <t>78С- mash out</t>
  </si>
  <si>
    <t>Хмел: Nugget-100 g/60 min,Perle-50 g/60 min,CFJ-8(Cascade)30g/10 min, Dry hoping-CFJ-8 (Cascade) -60 g/14 day</t>
  </si>
  <si>
    <t>OG 1,057 (13,97 P)</t>
  </si>
  <si>
    <t>FG 1,016 (4,08 P)</t>
  </si>
  <si>
    <t>ABV 5,5%</t>
  </si>
  <si>
    <t>Карбонизация с 300 г-декстроза (глюкоза на прах-царевична захар)</t>
  </si>
  <si>
    <t>Отлежаване в кегове,PET и стъклени бутилки.Бутилките свършиха скоропостижно,вчера отворих последния кег (след 46 дни отлежаване)</t>
  </si>
  <si>
    <t>Супер аромат,типична горчивина за английски ейл,плътна пяна със ситни мехурчета.Гинесът който продават в Метро е далееече от този реазултат:)Опитайте и вие!</t>
  </si>
  <si>
    <t>Наздраве!</t>
  </si>
  <si>
    <t xml:space="preserve">Abbey malt </t>
  </si>
  <si>
    <t>Царевичен грис</t>
  </si>
  <si>
    <t>Belle Saison</t>
  </si>
  <si>
    <t>Меланоиден</t>
  </si>
  <si>
    <t>CaraPils</t>
  </si>
  <si>
    <t>Печен ечемик</t>
  </si>
  <si>
    <t>Nottingham ale</t>
  </si>
  <si>
    <t>Munich</t>
  </si>
  <si>
    <t>Hefeweizen</t>
  </si>
  <si>
    <t>°P -12</t>
  </si>
  <si>
    <t>OG - 1,049</t>
  </si>
  <si>
    <t>FG - 1,012</t>
  </si>
  <si>
    <t>SRM - 3</t>
  </si>
  <si>
    <t>ABV - 4,8%</t>
  </si>
  <si>
    <t>Машаут на 76°С</t>
  </si>
  <si>
    <t>Протеаза на 40°С</t>
  </si>
  <si>
    <t>…. амилаза  50°С</t>
  </si>
  <si>
    <t>Pilsner  (2 °L)</t>
  </si>
  <si>
    <t>Wheat Malt pale  (2 °L)</t>
  </si>
  <si>
    <t>IBU - 13</t>
  </si>
  <si>
    <t>Аериране, Заквасване</t>
  </si>
  <si>
    <r>
      <t xml:space="preserve">Ферментация на </t>
    </r>
    <r>
      <rPr>
        <b/>
        <sz val="13"/>
        <color theme="1"/>
        <rFont val="Calibri"/>
        <family val="2"/>
        <charset val="204"/>
        <scheme val="minor"/>
      </rPr>
      <t>17°С</t>
    </r>
  </si>
  <si>
    <t>Honey Red Ale</t>
  </si>
  <si>
    <t>ABV - 6</t>
  </si>
  <si>
    <t>SRM - 18</t>
  </si>
  <si>
    <t>IBU - 24</t>
  </si>
  <si>
    <t>OG - 1,056</t>
  </si>
  <si>
    <t>FG - 1,010</t>
  </si>
  <si>
    <t>°P - 14</t>
  </si>
  <si>
    <t>Aurora   AA 9,2%</t>
  </si>
  <si>
    <t>мед</t>
  </si>
  <si>
    <t>Бета амилаза  65°С</t>
  </si>
  <si>
    <t>Saison с черен пипер и лимон</t>
  </si>
  <si>
    <t>Охлаждане до 20°С                              от, до, общо:</t>
  </si>
  <si>
    <t>Размесване гриста в студена вода</t>
  </si>
  <si>
    <t>Протеаза на 50°С</t>
  </si>
  <si>
    <t>IBU - 19</t>
  </si>
  <si>
    <t>черен пипер + лимон</t>
  </si>
  <si>
    <t>OG - 1,052</t>
  </si>
  <si>
    <r>
      <t xml:space="preserve">Ферментация на </t>
    </r>
    <r>
      <rPr>
        <b/>
        <sz val="13"/>
        <color theme="1"/>
        <rFont val="Calibri"/>
        <family val="2"/>
        <charset val="204"/>
        <scheme val="minor"/>
      </rPr>
      <t>20°С</t>
    </r>
  </si>
</sst>
</file>

<file path=xl/styles.xml><?xml version="1.0" encoding="utf-8"?>
<styleSheet xmlns="http://schemas.openxmlformats.org/spreadsheetml/2006/main">
  <numFmts count="37">
    <numFmt numFmtId="44" formatCode="_-* #,##0.00\ &quot;лв.&quot;_-;\-* #,##0.00\ &quot;лв.&quot;_-;_-* &quot;-&quot;??\ &quot;лв.&quot;_-;_-@_-"/>
    <numFmt numFmtId="164" formatCode="0.0%"/>
    <numFmt numFmtId="165" formatCode="&quot;= &quot;0.00"/>
    <numFmt numFmtId="166" formatCode="0&quot; л&quot;"/>
    <numFmt numFmtId="167" formatCode="0.00&quot; л&quot;"/>
    <numFmt numFmtId="168" formatCode="0&quot; гр/л&quot;"/>
    <numFmt numFmtId="169" formatCode="0&quot; гр&quot;"/>
    <numFmt numFmtId="170" formatCode="0.0&quot; %P&quot;"/>
    <numFmt numFmtId="171" formatCode="0.0"/>
    <numFmt numFmtId="172" formatCode="0.00&quot;лв/бр&quot;"/>
    <numFmt numFmtId="173" formatCode="&quot;= &quot;0.000&quot; гр&quot;"/>
    <numFmt numFmtId="174" formatCode="&quot;= &quot;0&quot;бр&quot;"/>
    <numFmt numFmtId="175" formatCode="0&quot; кг&quot;"/>
    <numFmt numFmtId="176" formatCode="&quot;от &quot;hh:mm"/>
    <numFmt numFmtId="177" formatCode="&quot;до &quot;hh:mm"/>
    <numFmt numFmtId="178" formatCode="0&quot; бр&quot;"/>
    <numFmt numFmtId="179" formatCode="&quot;= &quot;0.000"/>
    <numFmt numFmtId="180" formatCode="0&quot; %&quot;"/>
    <numFmt numFmtId="181" formatCode="0&quot; мин&quot;"/>
    <numFmt numFmtId="182" formatCode="0.0&quot; °P&quot;"/>
    <numFmt numFmtId="183" formatCode="0.0&quot; %&quot;"/>
    <numFmt numFmtId="184" formatCode="d/mm/yy"/>
    <numFmt numFmtId="185" formatCode="0.0&quot; гр/л&quot;"/>
    <numFmt numFmtId="186" formatCode="0.00&quot; кг&quot;"/>
    <numFmt numFmtId="187" formatCode="0.0&quot; кг&quot;"/>
    <numFmt numFmtId="188" formatCode="#,##0.00\ &quot;лв&quot;;[Red]#,##0.00\ &quot;лв&quot;"/>
    <numFmt numFmtId="189" formatCode="#,##0.00\ &quot;лв&quot;"/>
    <numFmt numFmtId="190" formatCode="#,##0.00\ &quot;лв.&quot;"/>
    <numFmt numFmtId="191" formatCode="0.0&quot; л&quot;"/>
    <numFmt numFmtId="192" formatCode="hh:mm&quot; ч&quot;"/>
    <numFmt numFmtId="193" formatCode="0.000"/>
    <numFmt numFmtId="194" formatCode="0&quot; cm&quot;"/>
    <numFmt numFmtId="195" formatCode="0&quot; дни&quot;"/>
    <numFmt numFmtId="196" formatCode="_-* #,##0\ &quot;лв.&quot;_-;\-* #,##0\ &quot;лв.&quot;_-;_-* &quot;-&quot;??\ &quot;лв.&quot;_-;_-@_-"/>
    <numFmt numFmtId="197" formatCode="0&quot; лв/ч&quot;"/>
    <numFmt numFmtId="198" formatCode="0.0&quot; гр&quot;"/>
    <numFmt numFmtId="199" formatCode="d\-mmm"/>
  </numFmts>
  <fonts count="10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11"/>
      <color theme="1"/>
      <name val="Calibri"/>
      <family val="2"/>
      <charset val="204"/>
    </font>
    <font>
      <sz val="7"/>
      <color theme="1"/>
      <name val="Times New Roman"/>
      <family val="1"/>
      <charset val="204"/>
    </font>
    <font>
      <sz val="11"/>
      <color theme="1"/>
      <name val="Arial"/>
      <family val="2"/>
      <charset val="204"/>
    </font>
    <font>
      <sz val="11"/>
      <color rgb="FF000000"/>
      <name val="Calibri"/>
      <family val="2"/>
      <charset val="204"/>
      <scheme val="minor"/>
    </font>
    <font>
      <sz val="11"/>
      <color rgb="FF000000"/>
      <name val="Verdana"/>
      <family val="2"/>
      <charset val="204"/>
    </font>
    <font>
      <b/>
      <sz val="14"/>
      <color theme="1"/>
      <name val="Calibri"/>
      <family val="2"/>
      <charset val="204"/>
      <scheme val="minor"/>
    </font>
    <font>
      <sz val="12.65"/>
      <color theme="1"/>
      <name val="Calibri"/>
      <family val="2"/>
      <charset val="204"/>
    </font>
    <font>
      <sz val="11"/>
      <name val="Calibri"/>
      <family val="2"/>
      <charset val="204"/>
      <scheme val="minor"/>
    </font>
    <font>
      <b/>
      <sz val="11"/>
      <name val="Calibri"/>
      <family val="2"/>
      <charset val="204"/>
      <scheme val="minor"/>
    </font>
    <font>
      <sz val="14"/>
      <color theme="1"/>
      <name val="Calibri"/>
      <family val="2"/>
      <charset val="204"/>
      <scheme val="minor"/>
    </font>
    <font>
      <u/>
      <sz val="11"/>
      <color theme="10"/>
      <name val="Calibri"/>
      <family val="2"/>
      <scheme val="minor"/>
    </font>
    <font>
      <b/>
      <u/>
      <sz val="16"/>
      <color theme="10"/>
      <name val="Calibri"/>
      <family val="2"/>
      <charset val="204"/>
      <scheme val="minor"/>
    </font>
    <font>
      <u/>
      <sz val="11"/>
      <color theme="10"/>
      <name val="Calibri"/>
      <family val="2"/>
      <charset val="204"/>
      <scheme val="minor"/>
    </font>
    <font>
      <b/>
      <sz val="18"/>
      <color theme="1"/>
      <name val="Calibri"/>
      <family val="2"/>
      <scheme val="minor"/>
    </font>
    <font>
      <b/>
      <sz val="11"/>
      <color theme="1"/>
      <name val="Calibri"/>
      <family val="2"/>
      <scheme val="minor"/>
    </font>
    <font>
      <i/>
      <sz val="11"/>
      <color theme="1"/>
      <name val="Calibri"/>
      <family val="2"/>
      <scheme val="minor"/>
    </font>
    <font>
      <b/>
      <u/>
      <sz val="16"/>
      <color theme="1"/>
      <name val="Calibri"/>
      <family val="2"/>
      <charset val="204"/>
      <scheme val="minor"/>
    </font>
    <font>
      <sz val="13"/>
      <color theme="1"/>
      <name val="Arial"/>
      <family val="2"/>
      <charset val="204"/>
    </font>
    <font>
      <sz val="13"/>
      <color theme="1"/>
      <name val="Calibri"/>
      <family val="2"/>
      <charset val="204"/>
      <scheme val="minor"/>
    </font>
    <font>
      <b/>
      <sz val="13"/>
      <color theme="1"/>
      <name val="Calibri"/>
      <family val="2"/>
      <charset val="204"/>
      <scheme val="minor"/>
    </font>
    <font>
      <b/>
      <u/>
      <sz val="13"/>
      <color theme="1"/>
      <name val="Calibri"/>
      <family val="2"/>
      <charset val="204"/>
      <scheme val="minor"/>
    </font>
    <font>
      <i/>
      <sz val="13"/>
      <color theme="1"/>
      <name val="Calibri"/>
      <family val="2"/>
      <charset val="204"/>
      <scheme val="minor"/>
    </font>
    <font>
      <b/>
      <u/>
      <sz val="13"/>
      <color theme="10"/>
      <name val="Calibri"/>
      <family val="2"/>
      <charset val="204"/>
      <scheme val="minor"/>
    </font>
    <font>
      <sz val="13"/>
      <color rgb="FF000000"/>
      <name val="Calibri"/>
      <family val="2"/>
      <charset val="204"/>
      <scheme val="minor"/>
    </font>
    <font>
      <u/>
      <sz val="13"/>
      <color theme="10"/>
      <name val="Calibri"/>
      <family val="2"/>
      <scheme val="minor"/>
    </font>
    <font>
      <sz val="13"/>
      <color rgb="FF000000"/>
      <name val="Verdana"/>
      <family val="2"/>
      <charset val="204"/>
    </font>
    <font>
      <sz val="13"/>
      <color theme="1"/>
      <name val="Calibri"/>
      <family val="2"/>
      <scheme val="minor"/>
    </font>
    <font>
      <u/>
      <sz val="13"/>
      <color theme="1"/>
      <name val="Calibri"/>
      <family val="2"/>
      <charset val="204"/>
      <scheme val="minor"/>
    </font>
    <font>
      <sz val="13"/>
      <name val="Calibri"/>
      <family val="2"/>
      <charset val="204"/>
      <scheme val="minor"/>
    </font>
    <font>
      <b/>
      <sz val="13"/>
      <name val="Calibri"/>
      <family val="2"/>
      <charset val="204"/>
      <scheme val="minor"/>
    </font>
    <font>
      <sz val="13"/>
      <name val="Calibri"/>
      <family val="2"/>
      <scheme val="minor"/>
    </font>
    <font>
      <b/>
      <sz val="13"/>
      <color theme="1"/>
      <name val="Calibri"/>
      <family val="2"/>
      <scheme val="minor"/>
    </font>
    <font>
      <b/>
      <sz val="12"/>
      <color theme="1"/>
      <name val="Calibri"/>
      <family val="2"/>
      <charset val="204"/>
      <scheme val="minor"/>
    </font>
    <font>
      <b/>
      <u/>
      <sz val="18"/>
      <color theme="10"/>
      <name val="Calibri"/>
      <family val="2"/>
      <charset val="204"/>
      <scheme val="minor"/>
    </font>
    <font>
      <sz val="12"/>
      <color rgb="FF333333"/>
      <name val="Trebuchet MS"/>
      <family val="2"/>
      <charset val="204"/>
    </font>
    <font>
      <b/>
      <sz val="13"/>
      <color theme="1"/>
      <name val="Calibri"/>
      <family val="2"/>
      <charset val="204"/>
    </font>
    <font>
      <sz val="13"/>
      <color theme="1"/>
      <name val="Calibri"/>
      <family val="2"/>
      <charset val="204"/>
    </font>
    <font>
      <sz val="13"/>
      <color theme="10"/>
      <name val="Calibri"/>
      <family val="2"/>
      <charset val="204"/>
      <scheme val="minor"/>
    </font>
    <font>
      <b/>
      <u/>
      <sz val="15"/>
      <color theme="1"/>
      <name val="Calibri"/>
      <family val="2"/>
      <charset val="204"/>
      <scheme val="minor"/>
    </font>
    <font>
      <sz val="12"/>
      <color theme="1"/>
      <name val="Calibri"/>
      <family val="2"/>
      <scheme val="minor"/>
    </font>
    <font>
      <b/>
      <sz val="18"/>
      <color theme="1"/>
      <name val="Calibri"/>
      <family val="2"/>
      <charset val="204"/>
      <scheme val="minor"/>
    </font>
    <font>
      <sz val="10"/>
      <name val="Arial"/>
      <family val="2"/>
    </font>
    <font>
      <b/>
      <sz val="10"/>
      <name val="Arial"/>
      <family val="2"/>
      <charset val="204"/>
    </font>
    <font>
      <b/>
      <sz val="12"/>
      <name val="ITC Goudy Sans Std Medium"/>
      <family val="2"/>
      <charset val="204"/>
    </font>
    <font>
      <sz val="10"/>
      <name val="Arial"/>
      <family val="2"/>
      <charset val="204"/>
    </font>
    <font>
      <b/>
      <sz val="10"/>
      <name val="ITC Goudy Sans Std Black"/>
      <family val="2"/>
      <charset val="204"/>
    </font>
    <font>
      <sz val="10"/>
      <name val="ITC Goudy Sans Std Black"/>
      <family val="2"/>
      <charset val="204"/>
    </font>
    <font>
      <b/>
      <i/>
      <u/>
      <sz val="10"/>
      <name val="ITC Goudy Sans Std Black"/>
      <family val="2"/>
      <charset val="204"/>
    </font>
    <font>
      <b/>
      <sz val="10"/>
      <name val="ITC Goudy Sans Std Book"/>
      <family val="2"/>
      <charset val="204"/>
    </font>
    <font>
      <b/>
      <sz val="10"/>
      <color indexed="10"/>
      <name val="ITC Goudy Sans Std Book"/>
      <family val="2"/>
      <charset val="204"/>
    </font>
    <font>
      <b/>
      <i/>
      <u/>
      <sz val="14"/>
      <color indexed="10"/>
      <name val="ITC Goudy Sans Std Black"/>
      <family val="2"/>
      <charset val="204"/>
    </font>
    <font>
      <b/>
      <sz val="14"/>
      <name val="ITC Goudy Sans Std Book"/>
      <family val="2"/>
      <charset val="204"/>
    </font>
    <font>
      <b/>
      <sz val="14"/>
      <name val="ITC Goudy Sans Std Black"/>
      <family val="2"/>
      <charset val="204"/>
    </font>
    <font>
      <b/>
      <sz val="12"/>
      <name val="ITC Goudy Sans Std Black"/>
      <family val="2"/>
      <charset val="204"/>
    </font>
    <font>
      <b/>
      <sz val="12"/>
      <color indexed="10"/>
      <name val="ITC Goudy Sans Std Black"/>
      <family val="2"/>
      <charset val="204"/>
    </font>
    <font>
      <b/>
      <sz val="12"/>
      <color indexed="19"/>
      <name val="ITC Goudy Sans Std Black"/>
      <family val="2"/>
      <charset val="204"/>
    </font>
    <font>
      <b/>
      <sz val="10"/>
      <color indexed="19"/>
      <name val="ITC Goudy Sans Std Book"/>
      <family val="2"/>
      <charset val="204"/>
    </font>
    <font>
      <b/>
      <sz val="8"/>
      <name val="ITC Goudy Sans Std Book"/>
      <family val="2"/>
      <charset val="204"/>
    </font>
    <font>
      <b/>
      <sz val="12"/>
      <color indexed="10"/>
      <name val="ITC Goudy Sans Std Book"/>
      <family val="2"/>
      <charset val="204"/>
    </font>
    <font>
      <b/>
      <sz val="14"/>
      <color indexed="19"/>
      <name val="ITC Goudy Sans Std Book"/>
      <family val="2"/>
      <charset val="204"/>
    </font>
    <font>
      <sz val="10"/>
      <name val="ITC Goudy Sans Std Book"/>
      <family val="2"/>
      <charset val="204"/>
    </font>
    <font>
      <b/>
      <sz val="8"/>
      <name val="ITC Goudy Sans Std Black"/>
      <family val="2"/>
      <charset val="204"/>
    </font>
    <font>
      <sz val="8"/>
      <name val="ITC Goudy Sans Std Book"/>
      <family val="2"/>
      <charset val="204"/>
    </font>
    <font>
      <sz val="10"/>
      <color indexed="10"/>
      <name val="Arial"/>
      <family val="2"/>
      <charset val="204"/>
    </font>
    <font>
      <b/>
      <sz val="13.5"/>
      <name val="Arial"/>
      <family val="2"/>
      <charset val="204"/>
    </font>
    <font>
      <sz val="10"/>
      <name val="Arial Unicode MS"/>
      <family val="2"/>
      <charset val="204"/>
    </font>
    <font>
      <b/>
      <i/>
      <u/>
      <sz val="12"/>
      <color indexed="10"/>
      <name val="ITC Goudy Sans Std Black"/>
      <family val="2"/>
      <charset val="204"/>
    </font>
    <font>
      <sz val="12"/>
      <name val="Arial"/>
      <family val="2"/>
      <charset val="204"/>
    </font>
    <font>
      <b/>
      <sz val="12"/>
      <name val="ITC Goudy Sans Std Book"/>
      <family val="2"/>
      <charset val="204"/>
    </font>
    <font>
      <b/>
      <i/>
      <u/>
      <sz val="12"/>
      <name val="ITC Goudy Sans Std Black"/>
      <family val="2"/>
      <charset val="204"/>
    </font>
    <font>
      <b/>
      <sz val="12"/>
      <name val="Arial"/>
      <family val="2"/>
      <charset val="204"/>
    </font>
    <font>
      <b/>
      <sz val="12"/>
      <color indexed="19"/>
      <name val="ITC Goudy Sans Std Book"/>
      <family val="2"/>
      <charset val="204"/>
    </font>
    <font>
      <b/>
      <sz val="12"/>
      <color indexed="19"/>
      <name val="ITC Goudy Sans Std Black"/>
      <charset val="204"/>
    </font>
    <font>
      <b/>
      <sz val="9"/>
      <color indexed="81"/>
      <name val="Tahoma"/>
      <family val="2"/>
      <charset val="204"/>
    </font>
    <font>
      <u/>
      <sz val="18"/>
      <color theme="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0000"/>
        <bgColor indexed="13"/>
      </patternFill>
    </fill>
    <fill>
      <patternFill patternType="solid">
        <fgColor indexed="51"/>
        <bgColor indexed="13"/>
      </patternFill>
    </fill>
    <fill>
      <patternFill patternType="solid">
        <fgColor indexed="22"/>
        <bgColor indexed="31"/>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top/>
      <bottom style="thin">
        <color indexed="8"/>
      </bottom>
      <diagonal/>
    </border>
    <border>
      <left/>
      <right style="thin">
        <color indexed="64"/>
      </right>
      <top/>
      <bottom style="thin">
        <color indexed="8"/>
      </bottom>
      <diagonal/>
    </border>
    <border>
      <left/>
      <right/>
      <top style="thin">
        <color indexed="8"/>
      </top>
      <bottom style="thin">
        <color indexed="8"/>
      </bottom>
      <diagonal/>
    </border>
    <border>
      <left/>
      <right style="thin">
        <color indexed="8"/>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30" fillId="0" borderId="0" applyFont="0" applyFill="0" applyBorder="0" applyAlignment="0" applyProtection="0"/>
    <xf numFmtId="9" fontId="30" fillId="0" borderId="0" applyFont="0" applyFill="0" applyBorder="0" applyAlignment="0" applyProtection="0"/>
    <xf numFmtId="0" fontId="42" fillId="0" borderId="0" applyNumberFormat="0" applyFill="0" applyBorder="0" applyAlignment="0" applyProtection="0"/>
    <xf numFmtId="0" fontId="73" fillId="0" borderId="0"/>
  </cellStyleXfs>
  <cellXfs count="714">
    <xf numFmtId="0" fontId="0" fillId="0" borderId="0" xfId="0"/>
    <xf numFmtId="0" fontId="0" fillId="0" borderId="0" xfId="0" applyAlignment="1">
      <alignment vertical="center"/>
    </xf>
    <xf numFmtId="0" fontId="29" fillId="0" borderId="0" xfId="0" applyFont="1" applyAlignment="1">
      <alignment horizontal="left" vertical="center"/>
    </xf>
    <xf numFmtId="44" fontId="0" fillId="0" borderId="0" xfId="1" applyFont="1" applyAlignment="1">
      <alignment horizontal="center" vertical="center"/>
    </xf>
    <xf numFmtId="0" fontId="29" fillId="0" borderId="0" xfId="0" applyFont="1" applyAlignment="1">
      <alignment vertical="center"/>
    </xf>
    <xf numFmtId="0" fontId="0" fillId="0" borderId="0" xfId="0" applyAlignment="1">
      <alignment vertical="center" wrapText="1"/>
    </xf>
    <xf numFmtId="0" fontId="31" fillId="0" borderId="0" xfId="0" applyFont="1" applyAlignment="1">
      <alignment vertical="center"/>
    </xf>
    <xf numFmtId="0" fontId="34"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2" fontId="27" fillId="0" borderId="0" xfId="0" applyNumberFormat="1" applyFont="1" applyAlignment="1">
      <alignment horizontal="center" vertical="center"/>
    </xf>
    <xf numFmtId="2" fontId="27" fillId="0" borderId="0" xfId="0" applyNumberFormat="1" applyFont="1" applyAlignment="1">
      <alignment vertical="center"/>
    </xf>
    <xf numFmtId="0" fontId="27" fillId="0" borderId="0" xfId="0" applyFont="1" applyAlignment="1">
      <alignment horizontal="center" vertical="center"/>
    </xf>
    <xf numFmtId="2" fontId="27" fillId="0" borderId="0" xfId="0" applyNumberFormat="1" applyFont="1" applyBorder="1" applyAlignment="1">
      <alignment horizontal="center" vertical="center"/>
    </xf>
    <xf numFmtId="0" fontId="27" fillId="0" borderId="0" xfId="0" applyFont="1" applyFill="1" applyAlignment="1">
      <alignment vertical="center"/>
    </xf>
    <xf numFmtId="2" fontId="27" fillId="0" borderId="0" xfId="0" applyNumberFormat="1" applyFont="1" applyFill="1" applyBorder="1" applyAlignment="1">
      <alignment horizontal="center" vertical="center"/>
    </xf>
    <xf numFmtId="0" fontId="27" fillId="0" borderId="0" xfId="0" applyFont="1" applyFill="1" applyAlignment="1">
      <alignment horizontal="center" vertical="center"/>
    </xf>
    <xf numFmtId="0" fontId="35" fillId="0" borderId="0" xfId="0" applyFont="1" applyFill="1" applyAlignment="1">
      <alignment horizontal="center" vertical="center" wrapText="1"/>
    </xf>
    <xf numFmtId="0" fontId="36" fillId="0" borderId="0" xfId="0" applyFont="1" applyFill="1" applyAlignment="1">
      <alignment horizontal="center" vertical="center" wrapText="1"/>
    </xf>
    <xf numFmtId="0" fontId="35" fillId="0" borderId="0" xfId="0" applyFont="1" applyFill="1" applyAlignment="1">
      <alignment horizontal="left" vertical="center" wrapText="1"/>
    </xf>
    <xf numFmtId="164" fontId="27" fillId="0" borderId="0" xfId="2" applyNumberFormat="1" applyFont="1" applyFill="1" applyAlignment="1">
      <alignment horizontal="center" vertical="center"/>
    </xf>
    <xf numFmtId="2" fontId="27" fillId="0" borderId="0" xfId="0" applyNumberFormat="1" applyFont="1" applyFill="1" applyAlignment="1">
      <alignment horizontal="center" vertical="center"/>
    </xf>
    <xf numFmtId="9" fontId="27" fillId="0" borderId="0" xfId="2" applyNumberFormat="1" applyFont="1" applyAlignment="1">
      <alignment horizontal="center" vertical="center"/>
    </xf>
    <xf numFmtId="2" fontId="27" fillId="2" borderId="1" xfId="0" applyNumberFormat="1" applyFont="1" applyFill="1" applyBorder="1" applyAlignment="1">
      <alignment horizontal="center" vertical="center"/>
    </xf>
    <xf numFmtId="2" fontId="27" fillId="2" borderId="2" xfId="0" applyNumberFormat="1" applyFont="1" applyFill="1" applyBorder="1" applyAlignment="1">
      <alignment horizontal="center" vertical="center"/>
    </xf>
    <xf numFmtId="2" fontId="27" fillId="2" borderId="3" xfId="0" applyNumberFormat="1" applyFont="1" applyFill="1" applyBorder="1" applyAlignment="1">
      <alignment horizontal="center" vertical="center"/>
    </xf>
    <xf numFmtId="2" fontId="27" fillId="0" borderId="2" xfId="0" applyNumberFormat="1" applyFont="1" applyBorder="1" applyAlignment="1">
      <alignment horizontal="center" vertical="center"/>
    </xf>
    <xf numFmtId="0" fontId="36" fillId="0" borderId="0" xfId="0" applyFont="1" applyFill="1" applyAlignment="1">
      <alignment horizontal="left" vertical="center" wrapText="1"/>
    </xf>
    <xf numFmtId="165" fontId="27" fillId="0" borderId="0" xfId="0" applyNumberFormat="1" applyFont="1" applyAlignment="1">
      <alignment horizontal="center" vertical="center"/>
    </xf>
    <xf numFmtId="0" fontId="27" fillId="0" borderId="0" xfId="0" applyNumberFormat="1" applyFont="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27" fillId="0" borderId="0" xfId="0" applyFont="1" applyFill="1" applyAlignment="1">
      <alignment horizontal="center" vertical="center" wrapText="1"/>
    </xf>
    <xf numFmtId="0" fontId="26" fillId="0" borderId="0" xfId="0" applyFont="1" applyAlignment="1">
      <alignment horizontal="center" vertical="center" wrapText="1"/>
    </xf>
    <xf numFmtId="0" fontId="27" fillId="0" borderId="0" xfId="0" applyFont="1" applyBorder="1" applyAlignment="1">
      <alignment vertical="center"/>
    </xf>
    <xf numFmtId="0" fontId="27" fillId="0" borderId="0" xfId="0" applyFont="1" applyBorder="1" applyAlignment="1">
      <alignment vertical="center" wrapText="1"/>
    </xf>
    <xf numFmtId="44" fontId="27" fillId="0" borderId="0" xfId="1" applyFont="1" applyBorder="1" applyAlignment="1">
      <alignment horizontal="center" vertical="center"/>
    </xf>
    <xf numFmtId="0" fontId="24" fillId="0" borderId="0" xfId="0" applyFont="1" applyAlignment="1">
      <alignment vertical="center"/>
    </xf>
    <xf numFmtId="2" fontId="27" fillId="0" borderId="4" xfId="0" applyNumberFormat="1" applyFont="1" applyBorder="1" applyAlignment="1">
      <alignment horizontal="center" vertical="center"/>
    </xf>
    <xf numFmtId="2" fontId="24" fillId="0" borderId="2" xfId="0" applyNumberFormat="1" applyFont="1" applyFill="1" applyBorder="1" applyAlignment="1">
      <alignment horizontal="center" vertical="center"/>
    </xf>
    <xf numFmtId="0" fontId="23" fillId="0" borderId="0" xfId="0" applyFont="1" applyAlignment="1">
      <alignment vertical="center"/>
    </xf>
    <xf numFmtId="0" fontId="0" fillId="0" borderId="0" xfId="0" applyAlignment="1">
      <alignment horizontal="center" vertical="center"/>
    </xf>
    <xf numFmtId="0" fontId="21" fillId="0" borderId="0" xfId="0" applyFont="1" applyAlignment="1">
      <alignment vertical="center"/>
    </xf>
    <xf numFmtId="0" fontId="0" fillId="0" borderId="0" xfId="0" applyAlignment="1">
      <alignment horizontal="left" vertical="center"/>
    </xf>
    <xf numFmtId="0" fontId="21" fillId="0" borderId="0" xfId="0" applyFont="1" applyAlignment="1">
      <alignment horizontal="center" vertical="center" wrapText="1"/>
    </xf>
    <xf numFmtId="0" fontId="20" fillId="0" borderId="0" xfId="0" applyFont="1" applyAlignment="1">
      <alignment horizontal="left" vertical="center" wrapText="1"/>
    </xf>
    <xf numFmtId="0" fontId="34" fillId="0" borderId="0" xfId="0" applyFont="1" applyAlignment="1">
      <alignment horizontal="left" vertical="top" wrapText="1"/>
    </xf>
    <xf numFmtId="0" fontId="34" fillId="0" borderId="0" xfId="0" applyFont="1" applyAlignment="1">
      <alignment vertical="top"/>
    </xf>
    <xf numFmtId="0" fontId="34"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39" fillId="0" borderId="0" xfId="0" applyFont="1" applyFill="1" applyAlignment="1">
      <alignment vertical="center"/>
    </xf>
    <xf numFmtId="0" fontId="39" fillId="0" borderId="0" xfId="0" applyFont="1" applyFill="1" applyAlignment="1">
      <alignment horizontal="center" vertical="center"/>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168" fontId="39" fillId="0" borderId="2" xfId="0" applyNumberFormat="1" applyFont="1" applyFill="1" applyBorder="1" applyAlignment="1">
      <alignment horizontal="center" vertical="center"/>
    </xf>
    <xf numFmtId="166" fontId="39" fillId="2" borderId="2" xfId="0" applyNumberFormat="1" applyFont="1" applyFill="1" applyBorder="1" applyAlignment="1">
      <alignment horizontal="center" vertical="center"/>
    </xf>
    <xf numFmtId="170" fontId="39" fillId="2" borderId="1" xfId="0" applyNumberFormat="1" applyFont="1" applyFill="1" applyBorder="1" applyAlignment="1">
      <alignment horizontal="center" vertical="center"/>
    </xf>
    <xf numFmtId="167" fontId="40" fillId="0" borderId="3" xfId="0" applyNumberFormat="1" applyFont="1" applyFill="1" applyBorder="1" applyAlignment="1">
      <alignment horizontal="center" vertical="center"/>
    </xf>
    <xf numFmtId="0" fontId="19" fillId="0" borderId="0" xfId="0" applyFont="1" applyAlignment="1">
      <alignment vertical="center"/>
    </xf>
    <xf numFmtId="44" fontId="0" fillId="0" borderId="6" xfId="1" applyFont="1" applyBorder="1" applyAlignment="1">
      <alignment horizontal="center" vertical="center"/>
    </xf>
    <xf numFmtId="0" fontId="0" fillId="0" borderId="6" xfId="0" applyBorder="1" applyAlignment="1">
      <alignment vertical="center"/>
    </xf>
    <xf numFmtId="0" fontId="24" fillId="0" borderId="0" xfId="0" applyFont="1" applyAlignment="1">
      <alignment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19" fillId="0" borderId="0" xfId="0" applyFont="1" applyAlignment="1">
      <alignment horizontal="left" vertical="center"/>
    </xf>
    <xf numFmtId="0" fontId="31" fillId="0" borderId="5" xfId="0" applyFont="1" applyBorder="1" applyAlignment="1">
      <alignment horizontal="center" vertical="center" wrapText="1"/>
    </xf>
    <xf numFmtId="170" fontId="19" fillId="2" borderId="5" xfId="0" applyNumberFormat="1" applyFont="1" applyFill="1" applyBorder="1" applyAlignment="1">
      <alignment horizontal="center" vertical="center" wrapText="1"/>
    </xf>
    <xf numFmtId="0" fontId="19"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vertical="center"/>
    </xf>
    <xf numFmtId="0" fontId="27" fillId="0" borderId="0" xfId="0" applyFont="1" applyAlignment="1">
      <alignment vertical="center" wrapText="1"/>
    </xf>
    <xf numFmtId="2" fontId="27" fillId="0" borderId="0" xfId="0" applyNumberFormat="1" applyFont="1" applyAlignment="1">
      <alignment horizontal="center" vertical="center" wrapText="1"/>
    </xf>
    <xf numFmtId="2" fontId="27" fillId="0" borderId="0" xfId="0" applyNumberFormat="1" applyFont="1" applyAlignment="1">
      <alignment vertical="center" wrapText="1"/>
    </xf>
    <xf numFmtId="0" fontId="37" fillId="0" borderId="0" xfId="0" applyFont="1" applyAlignment="1">
      <alignment vertical="center" wrapText="1"/>
    </xf>
    <xf numFmtId="0" fontId="31" fillId="0" borderId="0" xfId="0" applyFont="1" applyAlignment="1">
      <alignment horizontal="center" vertical="center" wrapText="1"/>
    </xf>
    <xf numFmtId="2" fontId="27" fillId="0" borderId="5" xfId="0" applyNumberFormat="1" applyFont="1" applyBorder="1" applyAlignment="1">
      <alignment horizontal="center" vertical="center" wrapText="1"/>
    </xf>
    <xf numFmtId="0" fontId="27" fillId="0" borderId="5" xfId="0" applyNumberFormat="1" applyFont="1" applyBorder="1" applyAlignment="1">
      <alignment horizontal="center" vertical="center" wrapText="1"/>
    </xf>
    <xf numFmtId="2" fontId="31" fillId="0" borderId="5" xfId="1" applyNumberFormat="1" applyFont="1" applyBorder="1" applyAlignment="1">
      <alignment horizontal="center" vertical="center" wrapText="1"/>
    </xf>
    <xf numFmtId="2" fontId="27" fillId="0" borderId="5" xfId="1" applyNumberFormat="1" applyFont="1" applyBorder="1" applyAlignment="1">
      <alignment horizontal="center" vertical="center" wrapText="1"/>
    </xf>
    <xf numFmtId="10" fontId="18" fillId="0" borderId="0" xfId="2" applyNumberFormat="1" applyFont="1" applyAlignment="1">
      <alignment horizontal="center" vertical="center"/>
    </xf>
    <xf numFmtId="44" fontId="27" fillId="0" borderId="0" xfId="1" applyFont="1" applyAlignment="1">
      <alignment horizontal="center" vertical="center"/>
    </xf>
    <xf numFmtId="172" fontId="27" fillId="0" borderId="0" xfId="1" applyNumberFormat="1" applyFont="1" applyAlignment="1">
      <alignment horizontal="center" vertical="center"/>
    </xf>
    <xf numFmtId="44" fontId="27" fillId="0" borderId="0" xfId="1" applyFont="1" applyFill="1" applyAlignment="1">
      <alignment horizontal="center" vertical="center"/>
    </xf>
    <xf numFmtId="173" fontId="27" fillId="0" borderId="0" xfId="0" applyNumberFormat="1" applyFont="1" applyAlignment="1">
      <alignment horizontal="center" vertical="center"/>
    </xf>
    <xf numFmtId="174" fontId="27" fillId="0" borderId="0" xfId="0" applyNumberFormat="1" applyFont="1" applyAlignment="1">
      <alignment horizontal="center" vertical="center"/>
    </xf>
    <xf numFmtId="0" fontId="27"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2" fontId="27" fillId="3" borderId="5" xfId="0" applyNumberFormat="1" applyFont="1" applyFill="1" applyBorder="1" applyAlignment="1">
      <alignment horizontal="center" vertical="center" wrapText="1"/>
    </xf>
    <xf numFmtId="166" fontId="27" fillId="0" borderId="5" xfId="0" applyNumberFormat="1" applyFont="1" applyBorder="1" applyAlignment="1">
      <alignment horizontal="center" vertical="center" wrapText="1"/>
    </xf>
    <xf numFmtId="0" fontId="17" fillId="0" borderId="0" xfId="0" applyFont="1" applyAlignment="1">
      <alignment horizontal="center" vertical="center"/>
    </xf>
    <xf numFmtId="2" fontId="17" fillId="0" borderId="5" xfId="1" applyNumberFormat="1" applyFont="1" applyBorder="1" applyAlignment="1">
      <alignment horizontal="center" vertical="center" wrapText="1"/>
    </xf>
    <xf numFmtId="0" fontId="39" fillId="0" borderId="0" xfId="0" applyFont="1" applyFill="1" applyBorder="1" applyAlignment="1">
      <alignment horizontal="left" vertical="center" wrapText="1"/>
    </xf>
    <xf numFmtId="167" fontId="40" fillId="0" borderId="0" xfId="0" applyNumberFormat="1" applyFont="1" applyFill="1" applyBorder="1" applyAlignment="1">
      <alignment horizontal="center" vertical="center"/>
    </xf>
    <xf numFmtId="168" fontId="39" fillId="0" borderId="0" xfId="0" applyNumberFormat="1" applyFont="1" applyFill="1" applyBorder="1" applyAlignment="1">
      <alignment horizontal="center" vertical="center"/>
    </xf>
    <xf numFmtId="166" fontId="39" fillId="0" borderId="0" xfId="0" applyNumberFormat="1" applyFont="1" applyFill="1" applyBorder="1" applyAlignment="1">
      <alignment horizontal="center" vertical="center"/>
    </xf>
    <xf numFmtId="169" fontId="39" fillId="0" borderId="0" xfId="0" applyNumberFormat="1" applyFont="1" applyFill="1" applyBorder="1" applyAlignment="1">
      <alignment horizontal="center" vertical="center"/>
    </xf>
    <xf numFmtId="0" fontId="27" fillId="0" borderId="0" xfId="0" applyFont="1" applyFill="1" applyAlignment="1">
      <alignment vertical="center" wrapText="1"/>
    </xf>
    <xf numFmtId="170" fontId="39" fillId="0" borderId="0" xfId="0" applyNumberFormat="1" applyFont="1" applyFill="1" applyBorder="1" applyAlignment="1">
      <alignment horizontal="center" vertical="center"/>
    </xf>
    <xf numFmtId="0" fontId="17" fillId="0" borderId="0" xfId="0" applyFont="1" applyFill="1" applyAlignment="1">
      <alignment horizontal="center" vertical="center"/>
    </xf>
    <xf numFmtId="0" fontId="26" fillId="0" borderId="0" xfId="0" applyFont="1" applyFill="1" applyAlignment="1">
      <alignment horizontal="left" vertical="center" wrapText="1"/>
    </xf>
    <xf numFmtId="0" fontId="21" fillId="0" borderId="0" xfId="0" applyFont="1" applyFill="1" applyAlignment="1">
      <alignment horizontal="left" vertical="center" wrapText="1"/>
    </xf>
    <xf numFmtId="0" fontId="0" fillId="0" borderId="0" xfId="0" applyFill="1" applyAlignment="1">
      <alignment vertical="center"/>
    </xf>
    <xf numFmtId="0" fontId="25" fillId="0" borderId="0" xfId="0" applyFont="1" applyFill="1" applyAlignment="1">
      <alignment horizontal="left" vertical="center" wrapText="1"/>
    </xf>
    <xf numFmtId="170" fontId="19" fillId="0" borderId="0" xfId="0" applyNumberFormat="1" applyFont="1" applyFill="1" applyBorder="1" applyAlignment="1">
      <alignment horizontal="center" vertical="center" wrapText="1"/>
    </xf>
    <xf numFmtId="0" fontId="25" fillId="0" borderId="0" xfId="0" applyFont="1" applyFill="1" applyAlignment="1">
      <alignment vertical="center" wrapText="1"/>
    </xf>
    <xf numFmtId="0" fontId="26" fillId="0" borderId="0" xfId="0"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Alignment="1">
      <alignment horizontal="center" vertical="center" wrapText="1"/>
    </xf>
    <xf numFmtId="0" fontId="31" fillId="0" borderId="0" xfId="0" applyFont="1" applyFill="1" applyBorder="1" applyAlignment="1">
      <alignment horizontal="center" vertical="center" wrapText="1"/>
    </xf>
    <xf numFmtId="0" fontId="24" fillId="0" borderId="0" xfId="0" applyFont="1" applyFill="1" applyAlignment="1">
      <alignment horizontal="left" vertical="center" wrapText="1"/>
    </xf>
    <xf numFmtId="0" fontId="0" fillId="0" borderId="0" xfId="0" applyFill="1" applyAlignment="1">
      <alignment horizontal="left" vertical="center" wrapText="1"/>
    </xf>
    <xf numFmtId="0" fontId="31" fillId="0" borderId="0" xfId="0" applyFont="1" applyFill="1" applyAlignment="1">
      <alignment horizontal="left" vertical="center" wrapText="1"/>
    </xf>
    <xf numFmtId="0" fontId="0" fillId="0" borderId="0" xfId="0" applyFill="1" applyAlignment="1">
      <alignment horizontal="left" vertical="center"/>
    </xf>
    <xf numFmtId="0" fontId="22" fillId="0" borderId="0" xfId="0" applyFont="1" applyFill="1" applyAlignment="1">
      <alignment horizontal="left" vertical="center" wrapText="1"/>
    </xf>
    <xf numFmtId="0" fontId="16" fillId="0" borderId="0" xfId="0" applyFont="1" applyAlignment="1">
      <alignment horizontal="center" vertical="center" wrapText="1"/>
    </xf>
    <xf numFmtId="166" fontId="27" fillId="0" borderId="0" xfId="0" applyNumberFormat="1" applyFont="1" applyBorder="1" applyAlignment="1">
      <alignment horizontal="center" vertical="center" wrapText="1"/>
    </xf>
    <xf numFmtId="175" fontId="31" fillId="2" borderId="5" xfId="0" applyNumberFormat="1" applyFont="1" applyFill="1" applyBorder="1" applyAlignment="1">
      <alignment horizontal="center" vertical="center" wrapText="1"/>
    </xf>
    <xf numFmtId="0" fontId="31" fillId="0" borderId="0" xfId="0" applyFont="1" applyAlignment="1">
      <alignment horizontal="center" vertical="center"/>
    </xf>
    <xf numFmtId="0" fontId="0" fillId="0" borderId="0" xfId="0"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6" fillId="0" borderId="0" xfId="0" applyFont="1" applyAlignment="1">
      <alignment horizontal="left" vertical="center" wrapText="1"/>
    </xf>
    <xf numFmtId="0" fontId="31" fillId="0" borderId="0" xfId="0" applyFont="1" applyAlignment="1">
      <alignment horizontal="left" vertical="center" wrapText="1"/>
    </xf>
    <xf numFmtId="0" fontId="25" fillId="0" borderId="0" xfId="0" applyFont="1" applyAlignment="1">
      <alignment horizontal="left" vertical="center" wrapText="1"/>
    </xf>
    <xf numFmtId="0" fontId="24" fillId="0" borderId="0" xfId="0" applyFont="1" applyAlignment="1">
      <alignment horizontal="left" vertical="center" wrapText="1"/>
    </xf>
    <xf numFmtId="164" fontId="27" fillId="0" borderId="0" xfId="2" applyNumberFormat="1" applyFont="1" applyAlignment="1">
      <alignment horizontal="center" vertical="center"/>
    </xf>
    <xf numFmtId="10" fontId="15" fillId="0" borderId="0" xfId="2" applyNumberFormat="1" applyFont="1" applyAlignment="1">
      <alignment horizontal="center" vertical="center"/>
    </xf>
    <xf numFmtId="0" fontId="15" fillId="0" borderId="0" xfId="0" applyFont="1" applyAlignment="1">
      <alignment horizontal="center" vertical="center" wrapText="1"/>
    </xf>
    <xf numFmtId="0" fontId="26"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center" vertical="center"/>
    </xf>
    <xf numFmtId="20" fontId="27" fillId="0" borderId="0" xfId="0" applyNumberFormat="1" applyFont="1" applyAlignment="1">
      <alignment horizontal="center" vertical="center"/>
    </xf>
    <xf numFmtId="176" fontId="14" fillId="0" borderId="0" xfId="0" applyNumberFormat="1" applyFont="1" applyAlignment="1">
      <alignment horizontal="left" vertical="center"/>
    </xf>
    <xf numFmtId="20" fontId="14" fillId="0" borderId="0" xfId="0" applyNumberFormat="1" applyFont="1" applyAlignment="1">
      <alignment horizontal="center" vertical="center"/>
    </xf>
    <xf numFmtId="177" fontId="14" fillId="0" borderId="0" xfId="0" applyNumberFormat="1" applyFont="1" applyAlignment="1">
      <alignment horizontal="left" vertical="center"/>
    </xf>
    <xf numFmtId="0" fontId="14" fillId="0" borderId="0" xfId="0" applyFont="1" applyAlignment="1">
      <alignment horizontal="left" vertical="center"/>
    </xf>
    <xf numFmtId="20" fontId="14" fillId="0" borderId="0" xfId="0" applyNumberFormat="1" applyFont="1" applyAlignment="1">
      <alignment horizontal="left" vertical="center"/>
    </xf>
    <xf numFmtId="0" fontId="18" fillId="0" borderId="0" xfId="0" applyFont="1" applyAlignment="1">
      <alignment horizontal="center" vertical="center"/>
    </xf>
    <xf numFmtId="169" fontId="39" fillId="2" borderId="2" xfId="0" applyNumberFormat="1" applyFont="1" applyFill="1" applyBorder="1" applyAlignment="1">
      <alignment horizontal="center" vertical="center"/>
    </xf>
    <xf numFmtId="0" fontId="13" fillId="0" borderId="0" xfId="0" applyFont="1" applyAlignment="1">
      <alignment vertical="center" wrapText="1"/>
    </xf>
    <xf numFmtId="0" fontId="41" fillId="0" borderId="0" xfId="0" applyFont="1" applyAlignment="1">
      <alignment horizontal="center" vertical="center" wrapText="1"/>
    </xf>
    <xf numFmtId="0" fontId="41" fillId="0" borderId="0" xfId="0" applyFont="1" applyAlignment="1">
      <alignment vertical="center" wrapText="1"/>
    </xf>
    <xf numFmtId="0" fontId="41" fillId="0" borderId="0" xfId="0" applyFont="1" applyFill="1" applyAlignment="1">
      <alignment vertical="center" wrapText="1"/>
    </xf>
    <xf numFmtId="2" fontId="41" fillId="0" borderId="0" xfId="0" applyNumberFormat="1" applyFont="1" applyAlignment="1">
      <alignment horizontal="center" vertical="center" wrapText="1"/>
    </xf>
    <xf numFmtId="0" fontId="37" fillId="0" borderId="0" xfId="0" applyFont="1" applyAlignment="1">
      <alignment horizontal="center" vertical="center" wrapText="1"/>
    </xf>
    <xf numFmtId="14" fontId="31" fillId="3" borderId="5" xfId="0" applyNumberFormat="1" applyFont="1" applyFill="1" applyBorder="1" applyAlignment="1">
      <alignment horizontal="center" vertic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42" fillId="0" borderId="0" xfId="3" applyAlignment="1">
      <alignment vertical="center"/>
    </xf>
    <xf numFmtId="0" fontId="31" fillId="0" borderId="0" xfId="0" applyFont="1" applyAlignment="1">
      <alignment horizontal="left" vertical="center" wrapText="1"/>
    </xf>
    <xf numFmtId="0" fontId="24"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left" vertical="center" wrapText="1"/>
    </xf>
    <xf numFmtId="44" fontId="27" fillId="0" borderId="2" xfId="1" applyFont="1" applyBorder="1" applyAlignment="1">
      <alignment horizontal="center" vertical="center"/>
    </xf>
    <xf numFmtId="178" fontId="27" fillId="0" borderId="0" xfId="0" applyNumberFormat="1" applyFont="1" applyBorder="1" applyAlignment="1">
      <alignment horizontal="center" vertical="center"/>
    </xf>
    <xf numFmtId="44" fontId="24" fillId="0" borderId="2" xfId="1" applyFont="1" applyFill="1" applyBorder="1" applyAlignment="1">
      <alignment horizontal="center" vertical="center"/>
    </xf>
    <xf numFmtId="0" fontId="12" fillId="0" borderId="0" xfId="0" applyFont="1" applyAlignment="1">
      <alignment vertical="center"/>
    </xf>
    <xf numFmtId="9" fontId="27" fillId="0" borderId="0" xfId="2" applyFont="1" applyAlignment="1">
      <alignment vertical="center"/>
    </xf>
    <xf numFmtId="0" fontId="12" fillId="0" borderId="0" xfId="0" applyFont="1" applyAlignment="1">
      <alignment horizontal="center" vertical="center" wrapText="1"/>
    </xf>
    <xf numFmtId="179" fontId="27" fillId="0" borderId="0" xfId="0" applyNumberFormat="1"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wrapText="1"/>
    </xf>
    <xf numFmtId="0" fontId="37" fillId="0" borderId="0" xfId="0" applyFont="1" applyAlignment="1">
      <alignment horizontal="center" vertical="center"/>
    </xf>
    <xf numFmtId="180" fontId="31" fillId="0" borderId="1" xfId="0" applyNumberFormat="1" applyFont="1" applyBorder="1" applyAlignment="1">
      <alignment horizontal="center" vertical="center"/>
    </xf>
    <xf numFmtId="0" fontId="27" fillId="2" borderId="2" xfId="0" applyFont="1" applyFill="1" applyBorder="1" applyAlignment="1">
      <alignment horizontal="center" vertical="center"/>
    </xf>
    <xf numFmtId="0" fontId="3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40" fillId="0" borderId="0" xfId="0" applyFont="1" applyFill="1" applyAlignment="1">
      <alignment vertical="center"/>
    </xf>
    <xf numFmtId="181" fontId="14" fillId="0" borderId="0" xfId="0" applyNumberFormat="1" applyFont="1" applyAlignment="1">
      <alignment horizontal="center" vertical="center"/>
    </xf>
    <xf numFmtId="181" fontId="18" fillId="0" borderId="0" xfId="0" applyNumberFormat="1" applyFont="1" applyAlignment="1">
      <alignment horizontal="center" vertical="center"/>
    </xf>
    <xf numFmtId="0" fontId="31" fillId="0" borderId="0" xfId="0" applyFont="1" applyAlignment="1">
      <alignment horizontal="center" vertical="center"/>
    </xf>
    <xf numFmtId="0" fontId="43" fillId="0" borderId="0" xfId="3" applyFont="1" applyAlignment="1">
      <alignment vertical="center" wrapText="1"/>
    </xf>
    <xf numFmtId="175" fontId="27" fillId="2" borderId="3"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0" borderId="0" xfId="0" applyFont="1" applyAlignment="1">
      <alignment horizontal="center" vertical="center" wrapText="1"/>
    </xf>
    <xf numFmtId="170" fontId="11" fillId="2" borderId="5" xfId="0" applyNumberFormat="1" applyFont="1" applyFill="1" applyBorder="1" applyAlignment="1">
      <alignment horizontal="right" vertical="center" wrapText="1"/>
    </xf>
    <xf numFmtId="0" fontId="11" fillId="0" borderId="0" xfId="0" applyFont="1" applyAlignment="1">
      <alignment horizontal="right" vertical="center"/>
    </xf>
    <xf numFmtId="170" fontId="10" fillId="2" borderId="5" xfId="0" applyNumberFormat="1" applyFont="1" applyFill="1" applyBorder="1" applyAlignment="1">
      <alignment horizontal="right" vertical="center" wrapText="1"/>
    </xf>
    <xf numFmtId="182" fontId="11" fillId="0" borderId="5" xfId="0" applyNumberFormat="1" applyFont="1" applyFill="1" applyBorder="1" applyAlignment="1">
      <alignment horizontal="right" vertical="center" wrapText="1"/>
    </xf>
    <xf numFmtId="0" fontId="9" fillId="0" borderId="0" xfId="0" applyFont="1" applyAlignment="1">
      <alignment vertical="center"/>
    </xf>
    <xf numFmtId="2" fontId="17" fillId="0" borderId="0" xfId="1" applyNumberFormat="1" applyFont="1" applyBorder="1" applyAlignment="1">
      <alignment horizontal="center" vertical="center" wrapText="1"/>
    </xf>
    <xf numFmtId="2" fontId="27" fillId="0" borderId="0" xfId="1" applyNumberFormat="1" applyFont="1" applyBorder="1" applyAlignment="1">
      <alignment horizontal="center" vertical="center" wrapText="1"/>
    </xf>
    <xf numFmtId="2" fontId="31" fillId="0" borderId="0" xfId="1"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10" fontId="9" fillId="0" borderId="0" xfId="2" applyNumberFormat="1" applyFont="1" applyAlignment="1">
      <alignment horizontal="center" vertical="center"/>
    </xf>
    <xf numFmtId="0" fontId="25" fillId="0" borderId="0" xfId="0" applyFont="1" applyAlignment="1">
      <alignment vertical="center"/>
    </xf>
    <xf numFmtId="0" fontId="27" fillId="0" borderId="5" xfId="0" applyFont="1" applyBorder="1" applyAlignment="1">
      <alignment horizontal="center" vertical="center"/>
    </xf>
    <xf numFmtId="170" fontId="11" fillId="0" borderId="0" xfId="0" applyNumberFormat="1" applyFont="1" applyFill="1" applyBorder="1" applyAlignment="1">
      <alignment horizontal="right" vertical="center" wrapText="1"/>
    </xf>
    <xf numFmtId="166" fontId="9" fillId="2" borderId="5" xfId="0" applyNumberFormat="1" applyFont="1" applyFill="1" applyBorder="1" applyAlignment="1">
      <alignment horizontal="right" vertical="center" wrapText="1"/>
    </xf>
    <xf numFmtId="20" fontId="27" fillId="0" borderId="0" xfId="0" applyNumberFormat="1" applyFont="1" applyAlignment="1">
      <alignment vertical="center"/>
    </xf>
    <xf numFmtId="181" fontId="14" fillId="0" borderId="0" xfId="0" applyNumberFormat="1" applyFont="1" applyAlignment="1">
      <alignment horizontal="center" vertical="center" wrapText="1"/>
    </xf>
    <xf numFmtId="0" fontId="9" fillId="0" borderId="0" xfId="0" applyFont="1" applyAlignment="1">
      <alignment horizontal="right" vertical="center"/>
    </xf>
    <xf numFmtId="170" fontId="9" fillId="2" borderId="5" xfId="0" applyNumberFormat="1" applyFont="1" applyFill="1" applyBorder="1" applyAlignment="1">
      <alignment horizontal="right" vertical="center" wrapText="1"/>
    </xf>
    <xf numFmtId="166" fontId="9" fillId="0" borderId="0" xfId="0" applyNumberFormat="1" applyFont="1" applyBorder="1" applyAlignment="1">
      <alignment horizontal="center" vertical="center" wrapText="1"/>
    </xf>
    <xf numFmtId="0" fontId="9" fillId="0" borderId="0" xfId="0" applyFont="1" applyAlignment="1">
      <alignment vertical="center" wrapText="1"/>
    </xf>
    <xf numFmtId="20" fontId="9" fillId="0" borderId="0" xfId="0" applyNumberFormat="1" applyFont="1" applyAlignment="1">
      <alignment horizontal="center" vertical="center"/>
    </xf>
    <xf numFmtId="20" fontId="9" fillId="0" borderId="0" xfId="0" applyNumberFormat="1" applyFont="1" applyAlignment="1">
      <alignment horizontal="left" vertical="center"/>
    </xf>
    <xf numFmtId="0" fontId="8" fillId="0" borderId="0" xfId="0" applyFont="1" applyAlignment="1">
      <alignment vertical="center"/>
    </xf>
    <xf numFmtId="49" fontId="8" fillId="2" borderId="5" xfId="0" applyNumberFormat="1" applyFont="1" applyFill="1" applyBorder="1" applyAlignment="1">
      <alignment horizontal="right" vertical="center" wrapText="1"/>
    </xf>
    <xf numFmtId="0" fontId="8" fillId="0" borderId="5" xfId="0" applyFont="1" applyBorder="1" applyAlignment="1">
      <alignment horizontal="right" vertical="center"/>
    </xf>
    <xf numFmtId="0" fontId="31" fillId="0" borderId="0" xfId="0" applyFont="1" applyAlignment="1">
      <alignment horizontal="center" vertical="center"/>
    </xf>
    <xf numFmtId="0" fontId="24" fillId="0" borderId="0" xfId="0" applyFont="1" applyAlignment="1">
      <alignment horizontal="left" vertical="center" wrapText="1"/>
    </xf>
    <xf numFmtId="0" fontId="8" fillId="0" borderId="0" xfId="0" applyFont="1" applyAlignment="1">
      <alignment horizontal="center" vertical="center"/>
    </xf>
    <xf numFmtId="0" fontId="44" fillId="0" borderId="0" xfId="3" applyFont="1" applyAlignment="1">
      <alignment vertical="center"/>
    </xf>
    <xf numFmtId="0" fontId="42" fillId="0" borderId="0" xfId="3" applyFill="1" applyAlignment="1">
      <alignment vertical="center"/>
    </xf>
    <xf numFmtId="183" fontId="31" fillId="0" borderId="5" xfId="0" applyNumberFormat="1" applyFont="1" applyFill="1" applyBorder="1" applyAlignment="1">
      <alignment horizontal="center" vertical="center" wrapText="1"/>
    </xf>
    <xf numFmtId="183" fontId="31" fillId="0" borderId="0" xfId="0" applyNumberFormat="1" applyFont="1" applyFill="1" applyBorder="1" applyAlignment="1">
      <alignment horizontal="center" vertical="center" wrapText="1"/>
    </xf>
    <xf numFmtId="0" fontId="27" fillId="0" borderId="5" xfId="0" applyFont="1" applyFill="1" applyBorder="1" applyAlignment="1">
      <alignment horizontal="center" vertical="center"/>
    </xf>
    <xf numFmtId="0" fontId="0" fillId="0" borderId="0" xfId="0" applyNumberFormat="1" applyAlignment="1">
      <alignment vertical="center"/>
    </xf>
    <xf numFmtId="0" fontId="7" fillId="0" borderId="0" xfId="0" applyFont="1" applyAlignment="1">
      <alignment vertical="center"/>
    </xf>
    <xf numFmtId="0" fontId="7" fillId="0" borderId="0" xfId="0" applyFont="1" applyAlignment="1">
      <alignment horizontal="center" vertical="center"/>
    </xf>
    <xf numFmtId="181" fontId="7" fillId="0" borderId="0" xfId="0" applyNumberFormat="1" applyFont="1" applyAlignment="1">
      <alignment horizontal="center" vertical="center"/>
    </xf>
    <xf numFmtId="170" fontId="7" fillId="2" borderId="5" xfId="0" applyNumberFormat="1" applyFont="1" applyFill="1" applyBorder="1" applyAlignment="1">
      <alignment horizontal="right" vertical="center" wrapText="1"/>
    </xf>
    <xf numFmtId="0" fontId="7" fillId="0" borderId="0" xfId="0" applyFont="1" applyAlignment="1">
      <alignment horizontal="left" vertical="center" wrapText="1"/>
    </xf>
    <xf numFmtId="0" fontId="0" fillId="0" borderId="7" xfId="0" applyBorder="1" applyAlignment="1">
      <alignment horizontal="center" vertical="center" wrapText="1"/>
    </xf>
    <xf numFmtId="0" fontId="46" fillId="0" borderId="7" xfId="0" applyFont="1" applyBorder="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171" fontId="0" fillId="0" borderId="7" xfId="0" applyNumberFormat="1" applyBorder="1" applyAlignment="1">
      <alignment horizontal="center" vertical="center" wrapText="1"/>
    </xf>
    <xf numFmtId="182" fontId="11" fillId="0" borderId="0" xfId="0" applyNumberFormat="1" applyFont="1" applyFill="1" applyBorder="1" applyAlignment="1">
      <alignment horizontal="right" vertical="center" wrapText="1"/>
    </xf>
    <xf numFmtId="182" fontId="11" fillId="0" borderId="5"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0" xfId="0" applyFont="1" applyAlignment="1">
      <alignment horizontal="left" vertical="center"/>
    </xf>
    <xf numFmtId="0" fontId="6" fillId="0" borderId="0" xfId="0" applyFont="1" applyFill="1" applyAlignment="1">
      <alignment vertical="center"/>
    </xf>
    <xf numFmtId="0" fontId="42" fillId="0" borderId="0" xfId="3" applyAlignment="1">
      <alignment horizontal="left" vertical="center"/>
    </xf>
    <xf numFmtId="0" fontId="0" fillId="4" borderId="0" xfId="0" applyFill="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9" fontId="31" fillId="2" borderId="1" xfId="2" applyFont="1" applyFill="1" applyBorder="1" applyAlignment="1">
      <alignment horizontal="center" vertical="center"/>
    </xf>
    <xf numFmtId="9" fontId="27" fillId="2" borderId="2" xfId="2" applyFont="1" applyFill="1" applyBorder="1" applyAlignment="1">
      <alignment horizontal="center" vertical="center"/>
    </xf>
    <xf numFmtId="9" fontId="27" fillId="0" borderId="3" xfId="2" applyFont="1" applyFill="1" applyBorder="1" applyAlignment="1">
      <alignment horizontal="center" vertical="center"/>
    </xf>
    <xf numFmtId="189" fontId="0" fillId="0" borderId="0" xfId="0" applyNumberFormat="1" applyBorder="1" applyAlignment="1">
      <alignment horizontal="left" vertical="center"/>
    </xf>
    <xf numFmtId="188" fontId="0" fillId="0" borderId="0" xfId="0" applyNumberFormat="1" applyFill="1" applyBorder="1" applyAlignment="1">
      <alignment horizontal="left" vertical="center"/>
    </xf>
    <xf numFmtId="49" fontId="0" fillId="0" borderId="0" xfId="0" applyNumberFormat="1" applyBorder="1" applyAlignment="1">
      <alignment horizontal="left" vertical="center"/>
    </xf>
    <xf numFmtId="49" fontId="0" fillId="0" borderId="0" xfId="0" applyNumberFormat="1" applyFill="1" applyBorder="1" applyAlignment="1">
      <alignment horizontal="left" vertical="center"/>
    </xf>
    <xf numFmtId="44" fontId="0" fillId="0" borderId="0" xfId="1" applyFont="1" applyBorder="1" applyAlignment="1">
      <alignment horizontal="center" vertical="center"/>
    </xf>
    <xf numFmtId="0" fontId="50" fillId="0" borderId="0" xfId="0" applyFont="1" applyAlignment="1">
      <alignment horizontal="center" vertical="center" wrapText="1"/>
    </xf>
    <xf numFmtId="0" fontId="50" fillId="0" borderId="0" xfId="0" applyFont="1" applyAlignment="1">
      <alignment vertical="center" wrapText="1"/>
    </xf>
    <xf numFmtId="0" fontId="51" fillId="0" borderId="0" xfId="0" applyFont="1" applyAlignment="1">
      <alignment horizontal="center" vertical="center" wrapText="1"/>
    </xf>
    <xf numFmtId="2" fontId="50" fillId="0" borderId="0" xfId="0" applyNumberFormat="1" applyFont="1" applyAlignment="1">
      <alignment horizontal="center" vertical="center" wrapText="1"/>
    </xf>
    <xf numFmtId="2" fontId="50" fillId="0" borderId="0" xfId="0" applyNumberFormat="1" applyFont="1" applyAlignment="1">
      <alignment vertical="center" wrapText="1"/>
    </xf>
    <xf numFmtId="0" fontId="51" fillId="0" borderId="0" xfId="0" applyNumberFormat="1" applyFont="1" applyAlignment="1">
      <alignment horizontal="center" vertical="center" wrapText="1"/>
    </xf>
    <xf numFmtId="184" fontId="51" fillId="0" borderId="0" xfId="0" applyNumberFormat="1" applyFont="1" applyAlignment="1">
      <alignment horizontal="center" vertical="center" wrapText="1"/>
    </xf>
    <xf numFmtId="0" fontId="53" fillId="0" borderId="0" xfId="0" applyFont="1" applyBorder="1" applyAlignment="1">
      <alignment vertical="center"/>
    </xf>
    <xf numFmtId="0" fontId="50" fillId="3" borderId="5" xfId="0" applyFont="1" applyFill="1" applyBorder="1" applyAlignment="1">
      <alignment horizontal="center" vertical="center" wrapText="1"/>
    </xf>
    <xf numFmtId="175" fontId="51" fillId="0" borderId="5" xfId="0" applyNumberFormat="1" applyFont="1" applyFill="1" applyBorder="1" applyAlignment="1">
      <alignment horizontal="center" vertical="center" wrapText="1"/>
    </xf>
    <xf numFmtId="166" fontId="50" fillId="2" borderId="5" xfId="0" applyNumberFormat="1" applyFont="1" applyFill="1" applyBorder="1" applyAlignment="1">
      <alignment horizontal="center" vertical="center" wrapText="1"/>
    </xf>
    <xf numFmtId="0" fontId="50" fillId="2" borderId="5" xfId="0" applyNumberFormat="1" applyFont="1" applyFill="1" applyBorder="1" applyAlignment="1">
      <alignment horizontal="center" vertical="center" wrapText="1"/>
    </xf>
    <xf numFmtId="0" fontId="50" fillId="0" borderId="0" xfId="0" applyFont="1" applyFill="1" applyAlignment="1">
      <alignment vertical="center"/>
    </xf>
    <xf numFmtId="44" fontId="51" fillId="2" borderId="5" xfId="1" applyFont="1" applyFill="1" applyBorder="1" applyAlignment="1">
      <alignment horizontal="center" vertical="center" wrapText="1"/>
    </xf>
    <xf numFmtId="44" fontId="50" fillId="2" borderId="5" xfId="1" applyFont="1" applyFill="1" applyBorder="1" applyAlignment="1">
      <alignment horizontal="center" vertical="center" wrapText="1"/>
    </xf>
    <xf numFmtId="0" fontId="54" fillId="0" borderId="0" xfId="3" applyFont="1" applyAlignment="1">
      <alignment vertical="center" wrapText="1"/>
    </xf>
    <xf numFmtId="0" fontId="51" fillId="0" borderId="6" xfId="0" applyFont="1" applyBorder="1" applyAlignment="1">
      <alignment vertical="center"/>
    </xf>
    <xf numFmtId="0" fontId="51" fillId="0" borderId="6" xfId="0" applyFont="1" applyBorder="1" applyAlignment="1">
      <alignment horizontal="center" vertical="center" wrapText="1"/>
    </xf>
    <xf numFmtId="0" fontId="50" fillId="0" borderId="0" xfId="0" applyFont="1" applyAlignment="1">
      <alignment vertical="center"/>
    </xf>
    <xf numFmtId="0" fontId="50" fillId="0" borderId="0" xfId="0" applyFont="1" applyBorder="1" applyAlignment="1">
      <alignment vertical="center" wrapText="1"/>
    </xf>
    <xf numFmtId="44" fontId="50" fillId="0" borderId="0" xfId="1" applyFont="1" applyBorder="1" applyAlignment="1">
      <alignment horizontal="center" vertical="center"/>
    </xf>
    <xf numFmtId="0" fontId="55" fillId="0" borderId="0" xfId="0" applyFont="1" applyFill="1" applyAlignment="1">
      <alignment horizontal="center" vertical="center" wrapText="1"/>
    </xf>
    <xf numFmtId="0" fontId="56" fillId="0" borderId="0" xfId="3" applyFont="1" applyAlignment="1">
      <alignment vertical="center"/>
    </xf>
    <xf numFmtId="187" fontId="50" fillId="0" borderId="0" xfId="0" applyNumberFormat="1" applyFont="1" applyAlignment="1">
      <alignment horizontal="center" vertical="center"/>
    </xf>
    <xf numFmtId="9" fontId="50" fillId="0" borderId="0" xfId="2" applyNumberFormat="1" applyFont="1" applyAlignment="1">
      <alignment horizontal="center" vertical="center"/>
    </xf>
    <xf numFmtId="44" fontId="50" fillId="0" borderId="0" xfId="1" applyFont="1" applyAlignment="1">
      <alignment horizontal="center" vertical="center"/>
    </xf>
    <xf numFmtId="44" fontId="50" fillId="2" borderId="1" xfId="1" applyFont="1" applyFill="1" applyBorder="1" applyAlignment="1">
      <alignment horizontal="center" vertical="center"/>
    </xf>
    <xf numFmtId="2" fontId="50" fillId="0" borderId="0" xfId="0" applyNumberFormat="1" applyFont="1" applyAlignment="1">
      <alignment horizontal="center" vertical="center"/>
    </xf>
    <xf numFmtId="0" fontId="57" fillId="0" borderId="0" xfId="0" applyFont="1" applyFill="1" applyAlignment="1">
      <alignment horizontal="center" vertical="center" wrapText="1"/>
    </xf>
    <xf numFmtId="2" fontId="50" fillId="0" borderId="0" xfId="0" applyNumberFormat="1" applyFont="1" applyAlignment="1">
      <alignment vertical="center"/>
    </xf>
    <xf numFmtId="0" fontId="56" fillId="0" borderId="0" xfId="3" applyFont="1" applyFill="1" applyAlignment="1">
      <alignment vertical="center"/>
    </xf>
    <xf numFmtId="44" fontId="50" fillId="2" borderId="3" xfId="1" applyFont="1" applyFill="1" applyBorder="1" applyAlignment="1">
      <alignment horizontal="center" vertical="center"/>
    </xf>
    <xf numFmtId="0" fontId="50" fillId="0" borderId="0" xfId="0" applyFont="1" applyFill="1" applyAlignment="1">
      <alignment horizontal="center" vertical="center" wrapText="1"/>
    </xf>
    <xf numFmtId="2" fontId="50" fillId="0" borderId="0" xfId="0" applyNumberFormat="1" applyFont="1" applyFill="1" applyAlignment="1">
      <alignment horizontal="center" vertical="center"/>
    </xf>
    <xf numFmtId="164" fontId="50" fillId="0" borderId="0" xfId="2" applyNumberFormat="1" applyFont="1" applyFill="1" applyAlignment="1">
      <alignment horizontal="center" vertical="center"/>
    </xf>
    <xf numFmtId="44" fontId="50" fillId="0" borderId="0" xfId="1" applyFont="1" applyFill="1" applyAlignment="1">
      <alignment horizontal="center" vertical="center"/>
    </xf>
    <xf numFmtId="2" fontId="50" fillId="0" borderId="0" xfId="0" applyNumberFormat="1" applyFont="1" applyFill="1" applyBorder="1" applyAlignment="1">
      <alignment horizontal="center" vertical="center"/>
    </xf>
    <xf numFmtId="164" fontId="51" fillId="0" borderId="6" xfId="2" applyNumberFormat="1" applyFont="1" applyFill="1" applyBorder="1" applyAlignment="1">
      <alignment horizontal="center" vertical="center"/>
    </xf>
    <xf numFmtId="44" fontId="51" fillId="0" borderId="6" xfId="1" applyFont="1" applyFill="1" applyBorder="1" applyAlignment="1">
      <alignment horizontal="center" vertical="center"/>
    </xf>
    <xf numFmtId="169" fontId="50" fillId="0" borderId="0" xfId="2" applyNumberFormat="1" applyFont="1" applyAlignment="1">
      <alignment horizontal="center" vertical="center"/>
    </xf>
    <xf numFmtId="185" fontId="50" fillId="0" borderId="0" xfId="2" applyNumberFormat="1" applyFont="1" applyAlignment="1">
      <alignment horizontal="center" vertical="center"/>
    </xf>
    <xf numFmtId="44" fontId="50" fillId="2" borderId="2" xfId="1" applyFont="1" applyFill="1" applyBorder="1" applyAlignment="1">
      <alignment horizontal="center" vertical="center"/>
    </xf>
    <xf numFmtId="2" fontId="50" fillId="0" borderId="0" xfId="1" applyNumberFormat="1" applyFont="1" applyBorder="1" applyAlignment="1">
      <alignment horizontal="center" vertical="center" wrapText="1"/>
    </xf>
    <xf numFmtId="2" fontId="51" fillId="0" borderId="0" xfId="1" applyNumberFormat="1" applyFont="1" applyBorder="1" applyAlignment="1">
      <alignment horizontal="center" vertical="center" wrapText="1"/>
    </xf>
    <xf numFmtId="172" fontId="50" fillId="0" borderId="0" xfId="1" applyNumberFormat="1" applyFont="1" applyAlignment="1">
      <alignment horizontal="center" vertical="center"/>
    </xf>
    <xf numFmtId="0" fontId="50" fillId="0" borderId="0" xfId="0" applyNumberFormat="1" applyFont="1" applyAlignment="1">
      <alignment horizontal="center" vertical="center"/>
    </xf>
    <xf numFmtId="164" fontId="50" fillId="0" borderId="0" xfId="2" applyNumberFormat="1" applyFont="1" applyAlignment="1">
      <alignment horizontal="center" vertical="center"/>
    </xf>
    <xf numFmtId="0" fontId="50" fillId="0" borderId="0" xfId="0" applyFont="1" applyFill="1" applyAlignment="1">
      <alignment horizontal="center" vertical="center"/>
    </xf>
    <xf numFmtId="171" fontId="50" fillId="0" borderId="0" xfId="0" applyNumberFormat="1" applyFont="1" applyBorder="1" applyAlignment="1">
      <alignment horizontal="center" vertical="center"/>
    </xf>
    <xf numFmtId="9" fontId="50" fillId="0" borderId="0" xfId="2" applyFont="1" applyAlignment="1">
      <alignment vertical="center"/>
    </xf>
    <xf numFmtId="0" fontId="50" fillId="0" borderId="0" xfId="0" applyFont="1" applyAlignment="1">
      <alignment horizontal="left" vertical="center"/>
    </xf>
    <xf numFmtId="44" fontId="50" fillId="0" borderId="1" xfId="1" applyFont="1" applyFill="1" applyBorder="1" applyAlignment="1">
      <alignment horizontal="center" vertical="center"/>
    </xf>
    <xf numFmtId="44" fontId="50" fillId="0" borderId="2" xfId="1" applyFont="1" applyFill="1" applyBorder="1" applyAlignment="1">
      <alignment horizontal="center" vertical="center"/>
    </xf>
    <xf numFmtId="44" fontId="50" fillId="0" borderId="3" xfId="1" applyFont="1" applyFill="1" applyBorder="1" applyAlignment="1">
      <alignment horizontal="center" vertical="center"/>
    </xf>
    <xf numFmtId="2" fontId="50" fillId="0" borderId="0" xfId="0" applyNumberFormat="1" applyFont="1" applyBorder="1" applyAlignment="1">
      <alignment horizontal="center" vertical="center"/>
    </xf>
    <xf numFmtId="0" fontId="50" fillId="0" borderId="0" xfId="0" applyFont="1" applyBorder="1" applyAlignment="1">
      <alignment vertical="center"/>
    </xf>
    <xf numFmtId="0" fontId="51" fillId="0" borderId="0" xfId="0" applyFont="1" applyAlignment="1">
      <alignment horizontal="center" vertical="center"/>
    </xf>
    <xf numFmtId="0" fontId="50" fillId="0" borderId="0" xfId="0" applyFont="1" applyAlignment="1">
      <alignment horizontal="left" vertical="center"/>
    </xf>
    <xf numFmtId="0" fontId="52" fillId="0" borderId="0" xfId="0" applyFont="1" applyAlignment="1">
      <alignment vertical="center"/>
    </xf>
    <xf numFmtId="166" fontId="50" fillId="0" borderId="0" xfId="0" applyNumberFormat="1" applyFont="1" applyBorder="1" applyAlignment="1">
      <alignment horizontal="center" vertical="center" wrapText="1"/>
    </xf>
    <xf numFmtId="20" fontId="50" fillId="0" borderId="0" xfId="0" applyNumberFormat="1" applyFont="1" applyAlignment="1">
      <alignment horizontal="center" vertical="center"/>
    </xf>
    <xf numFmtId="166" fontId="50" fillId="0" borderId="0" xfId="0" applyNumberFormat="1" applyFont="1" applyBorder="1" applyAlignment="1">
      <alignment horizontal="left" vertical="center" wrapText="1"/>
    </xf>
    <xf numFmtId="0" fontId="50" fillId="0" borderId="0" xfId="0" applyFont="1" applyAlignment="1">
      <alignment horizontal="center" vertical="center"/>
    </xf>
    <xf numFmtId="20" fontId="50" fillId="0" borderId="0" xfId="0" applyNumberFormat="1" applyFont="1" applyAlignment="1">
      <alignment horizontal="center" vertical="center" wrapText="1"/>
    </xf>
    <xf numFmtId="20" fontId="50" fillId="2" borderId="1" xfId="0" applyNumberFormat="1" applyFont="1" applyFill="1" applyBorder="1" applyAlignment="1">
      <alignment horizontal="center" vertical="center"/>
    </xf>
    <xf numFmtId="20" fontId="50" fillId="2" borderId="3" xfId="0" applyNumberFormat="1" applyFont="1" applyFill="1" applyBorder="1" applyAlignment="1">
      <alignment horizontal="center" vertical="center"/>
    </xf>
    <xf numFmtId="0" fontId="50" fillId="0" borderId="0" xfId="0" applyFont="1" applyAlignment="1">
      <alignment horizontal="left" vertical="center" wrapText="1"/>
    </xf>
    <xf numFmtId="181" fontId="50" fillId="0" borderId="0" xfId="0" applyNumberFormat="1" applyFont="1" applyAlignment="1">
      <alignment horizontal="center" vertical="center"/>
    </xf>
    <xf numFmtId="170" fontId="50" fillId="0" borderId="5" xfId="0" applyNumberFormat="1" applyFont="1" applyFill="1" applyBorder="1" applyAlignment="1">
      <alignment horizontal="right" vertical="center" wrapText="1"/>
    </xf>
    <xf numFmtId="166" fontId="50" fillId="0" borderId="5" xfId="0" applyNumberFormat="1" applyFont="1" applyFill="1" applyBorder="1" applyAlignment="1">
      <alignment horizontal="right" vertical="center" wrapText="1"/>
    </xf>
    <xf numFmtId="182" fontId="50" fillId="0" borderId="5" xfId="0" applyNumberFormat="1" applyFont="1" applyFill="1" applyBorder="1" applyAlignment="1">
      <alignment horizontal="right" vertical="center" wrapText="1"/>
    </xf>
    <xf numFmtId="170" fontId="50" fillId="0" borderId="0" xfId="0" applyNumberFormat="1" applyFont="1" applyFill="1" applyBorder="1" applyAlignment="1">
      <alignment horizontal="right" vertical="center" wrapText="1"/>
    </xf>
    <xf numFmtId="20" fontId="50" fillId="0" borderId="5" xfId="0" applyNumberFormat="1" applyFont="1" applyBorder="1" applyAlignment="1">
      <alignment horizontal="center" vertical="center" wrapText="1"/>
    </xf>
    <xf numFmtId="20" fontId="50" fillId="2" borderId="1" xfId="0" applyNumberFormat="1" applyFont="1" applyFill="1" applyBorder="1" applyAlignment="1">
      <alignment horizontal="center" vertical="center" wrapText="1"/>
    </xf>
    <xf numFmtId="0" fontId="58" fillId="0" borderId="0" xfId="0" applyFont="1" applyAlignment="1">
      <alignment vertical="center"/>
    </xf>
    <xf numFmtId="20" fontId="50" fillId="2" borderId="2" xfId="0" applyNumberFormat="1" applyFont="1" applyFill="1" applyBorder="1" applyAlignment="1">
      <alignment horizontal="center" vertical="center" wrapText="1"/>
    </xf>
    <xf numFmtId="0" fontId="55" fillId="0" borderId="0" xfId="0" applyFont="1" applyFill="1" applyAlignment="1">
      <alignment horizontal="left" vertical="center" wrapText="1"/>
    </xf>
    <xf numFmtId="0" fontId="50" fillId="0" borderId="0" xfId="0" applyFont="1" applyAlignment="1">
      <alignment horizontal="right" vertical="center"/>
    </xf>
    <xf numFmtId="20" fontId="50" fillId="2" borderId="3" xfId="0" applyNumberFormat="1" applyFont="1" applyFill="1" applyBorder="1" applyAlignment="1">
      <alignment horizontal="center" vertical="center" wrapText="1"/>
    </xf>
    <xf numFmtId="20" fontId="50" fillId="0" borderId="0" xfId="0" applyNumberFormat="1" applyFont="1" applyAlignment="1">
      <alignment vertical="center"/>
    </xf>
    <xf numFmtId="166" fontId="50" fillId="0" borderId="0" xfId="0" applyNumberFormat="1" applyFont="1" applyFill="1" applyBorder="1" applyAlignment="1">
      <alignment horizontal="right" vertical="center" wrapText="1"/>
    </xf>
    <xf numFmtId="0" fontId="58" fillId="0" borderId="0" xfId="0" applyFont="1" applyAlignment="1">
      <alignment horizontal="center" vertical="center"/>
    </xf>
    <xf numFmtId="0" fontId="60" fillId="0" borderId="0" xfId="0" applyFont="1" applyFill="1" applyAlignment="1">
      <alignment vertical="center"/>
    </xf>
    <xf numFmtId="0" fontId="61" fillId="0" borderId="0" xfId="0" applyFont="1" applyFill="1" applyAlignment="1">
      <alignment vertical="center"/>
    </xf>
    <xf numFmtId="0" fontId="60" fillId="0" borderId="1" xfId="0" applyFont="1" applyFill="1" applyBorder="1" applyAlignment="1">
      <alignment horizontal="left" vertical="center" wrapText="1"/>
    </xf>
    <xf numFmtId="0" fontId="60" fillId="0" borderId="2" xfId="0" applyFont="1" applyFill="1" applyBorder="1" applyAlignment="1">
      <alignment horizontal="left" vertical="center" wrapText="1"/>
    </xf>
    <xf numFmtId="166" fontId="60" fillId="0" borderId="2" xfId="0" applyNumberFormat="1" applyFont="1" applyFill="1" applyBorder="1" applyAlignment="1">
      <alignment horizontal="center" vertical="center"/>
    </xf>
    <xf numFmtId="169" fontId="60" fillId="0" borderId="2" xfId="0" applyNumberFormat="1" applyFont="1" applyFill="1" applyBorder="1" applyAlignment="1">
      <alignment horizontal="center" vertical="center"/>
    </xf>
    <xf numFmtId="168" fontId="60" fillId="2" borderId="2" xfId="0" applyNumberFormat="1" applyFont="1" applyFill="1" applyBorder="1" applyAlignment="1">
      <alignment horizontal="center" vertical="center"/>
    </xf>
    <xf numFmtId="0" fontId="60" fillId="0" borderId="3" xfId="0" applyFont="1" applyFill="1" applyBorder="1" applyAlignment="1">
      <alignment horizontal="left" vertical="center" wrapText="1"/>
    </xf>
    <xf numFmtId="167" fontId="61" fillId="2" borderId="3" xfId="0" applyNumberFormat="1" applyFont="1" applyFill="1" applyBorder="1" applyAlignment="1">
      <alignment horizontal="center" vertical="center"/>
    </xf>
    <xf numFmtId="0" fontId="60" fillId="0" borderId="0" xfId="0" applyFont="1" applyFill="1" applyBorder="1" applyAlignment="1">
      <alignment horizontal="left" vertical="center" wrapText="1"/>
    </xf>
    <xf numFmtId="167" fontId="61" fillId="0" borderId="0" xfId="0" applyNumberFormat="1" applyFont="1" applyFill="1" applyBorder="1" applyAlignment="1">
      <alignment horizontal="center" vertical="center"/>
    </xf>
    <xf numFmtId="0" fontId="51" fillId="0" borderId="0" xfId="0" applyFont="1" applyAlignment="1">
      <alignment vertical="center"/>
    </xf>
    <xf numFmtId="0" fontId="50" fillId="0" borderId="0" xfId="0" applyFont="1" applyBorder="1" applyAlignment="1">
      <alignment horizontal="center" vertical="center" wrapText="1"/>
    </xf>
    <xf numFmtId="0" fontId="50" fillId="0" borderId="1" xfId="0" applyFont="1" applyBorder="1" applyAlignment="1">
      <alignment horizontal="left" vertical="center" wrapText="1"/>
    </xf>
    <xf numFmtId="0" fontId="50" fillId="0" borderId="0" xfId="0" applyFont="1" applyBorder="1" applyAlignment="1">
      <alignment horizontal="left" vertical="center" wrapText="1"/>
    </xf>
    <xf numFmtId="183" fontId="51" fillId="2" borderId="1" xfId="0" applyNumberFormat="1" applyFont="1" applyFill="1" applyBorder="1" applyAlignment="1">
      <alignment horizontal="right" vertical="center" wrapText="1"/>
    </xf>
    <xf numFmtId="2" fontId="50" fillId="0" borderId="0" xfId="0" applyNumberFormat="1" applyFont="1" applyBorder="1" applyAlignment="1">
      <alignment vertical="center"/>
    </xf>
    <xf numFmtId="0" fontId="50" fillId="0" borderId="2" xfId="0" applyFont="1" applyBorder="1" applyAlignment="1">
      <alignment horizontal="left" vertical="center" wrapText="1"/>
    </xf>
    <xf numFmtId="183" fontId="51" fillId="2" borderId="2" xfId="0" applyNumberFormat="1" applyFont="1" applyFill="1" applyBorder="1" applyAlignment="1">
      <alignment horizontal="right" vertical="center" wrapText="1"/>
    </xf>
    <xf numFmtId="0" fontId="56" fillId="0" borderId="2" xfId="3" applyFont="1" applyBorder="1" applyAlignment="1">
      <alignment vertical="center"/>
    </xf>
    <xf numFmtId="0" fontId="50" fillId="0" borderId="0" xfId="0" applyFont="1" applyBorder="1" applyAlignment="1">
      <alignment horizontal="left" vertical="center"/>
    </xf>
    <xf numFmtId="0" fontId="50" fillId="0" borderId="2" xfId="0" applyFont="1" applyFill="1" applyBorder="1" applyAlignment="1">
      <alignment horizontal="center" vertical="center"/>
    </xf>
    <xf numFmtId="0" fontId="50" fillId="0" borderId="0" xfId="0" applyFont="1" applyBorder="1" applyAlignment="1">
      <alignment horizontal="center" vertical="center"/>
    </xf>
    <xf numFmtId="0" fontId="50" fillId="0" borderId="2" xfId="0" applyFont="1" applyFill="1" applyBorder="1" applyAlignment="1">
      <alignment vertical="center"/>
    </xf>
    <xf numFmtId="0" fontId="62" fillId="0" borderId="2" xfId="3" applyFont="1" applyBorder="1" applyAlignment="1">
      <alignment vertical="center"/>
    </xf>
    <xf numFmtId="1" fontId="51" fillId="2" borderId="2" xfId="0" applyNumberFormat="1" applyFont="1" applyFill="1" applyBorder="1" applyAlignment="1">
      <alignment horizontal="center" vertical="center"/>
    </xf>
    <xf numFmtId="0" fontId="62" fillId="0" borderId="3" xfId="3" applyFont="1" applyBorder="1" applyAlignment="1">
      <alignment vertical="center"/>
    </xf>
    <xf numFmtId="1" fontId="51" fillId="2" borderId="3" xfId="0" applyNumberFormat="1" applyFont="1" applyFill="1" applyBorder="1" applyAlignment="1">
      <alignment horizontal="center" vertical="center"/>
    </xf>
    <xf numFmtId="9" fontId="51" fillId="2" borderId="1" xfId="2" applyFont="1" applyFill="1" applyBorder="1" applyAlignment="1">
      <alignment horizontal="center" vertical="center"/>
    </xf>
    <xf numFmtId="0" fontId="50" fillId="0" borderId="2" xfId="0" applyFont="1" applyBorder="1" applyAlignment="1">
      <alignment vertical="center"/>
    </xf>
    <xf numFmtId="166" fontId="50" fillId="2" borderId="2" xfId="0" applyNumberFormat="1" applyFont="1" applyFill="1" applyBorder="1" applyAlignment="1">
      <alignment horizontal="center" vertical="center"/>
    </xf>
    <xf numFmtId="182" fontId="50" fillId="2" borderId="2" xfId="0" applyNumberFormat="1" applyFont="1" applyFill="1" applyBorder="1" applyAlignment="1">
      <alignment horizontal="center" vertical="center"/>
    </xf>
    <xf numFmtId="0" fontId="50" fillId="0" borderId="3" xfId="0" applyFont="1" applyBorder="1" applyAlignment="1">
      <alignment vertical="center"/>
    </xf>
    <xf numFmtId="175" fontId="50" fillId="2" borderId="3" xfId="0" applyNumberFormat="1" applyFont="1" applyFill="1" applyBorder="1" applyAlignment="1">
      <alignment horizontal="center" vertical="center"/>
    </xf>
    <xf numFmtId="0" fontId="51" fillId="0" borderId="0" xfId="0" applyFont="1" applyBorder="1" applyAlignment="1">
      <alignment vertical="center"/>
    </xf>
    <xf numFmtId="0" fontId="63" fillId="0" borderId="7" xfId="0" applyFont="1" applyBorder="1" applyAlignment="1">
      <alignment horizontal="center" vertical="center" wrapText="1"/>
    </xf>
    <xf numFmtId="171" fontId="58" fillId="0" borderId="7" xfId="0" applyNumberFormat="1" applyFont="1" applyBorder="1" applyAlignment="1">
      <alignment horizontal="center" vertical="center" wrapText="1"/>
    </xf>
    <xf numFmtId="0" fontId="58" fillId="0" borderId="7" xfId="0" applyFont="1" applyBorder="1" applyAlignment="1">
      <alignment horizontal="center" vertical="center" wrapText="1"/>
    </xf>
    <xf numFmtId="2" fontId="50" fillId="0" borderId="0" xfId="1" applyNumberFormat="1" applyFont="1" applyAlignment="1">
      <alignment horizontal="center" vertical="center"/>
    </xf>
    <xf numFmtId="0" fontId="48" fillId="0" borderId="0" xfId="0" applyFont="1" applyAlignment="1">
      <alignment vertical="center"/>
    </xf>
    <xf numFmtId="0" fontId="51" fillId="0" borderId="0" xfId="0" applyFont="1" applyAlignment="1">
      <alignment horizontal="left" vertical="center" wrapText="1"/>
    </xf>
    <xf numFmtId="0" fontId="50" fillId="0" borderId="5" xfId="0" applyFont="1" applyBorder="1" applyAlignment="1">
      <alignment vertical="center"/>
    </xf>
    <xf numFmtId="0" fontId="50" fillId="0" borderId="5" xfId="0" applyFont="1" applyBorder="1" applyAlignment="1">
      <alignment horizontal="left" vertical="center" wrapText="1"/>
    </xf>
    <xf numFmtId="0" fontId="4" fillId="0" borderId="0" xfId="0" applyFont="1" applyBorder="1" applyAlignment="1">
      <alignment vertical="center"/>
    </xf>
    <xf numFmtId="44" fontId="0" fillId="0" borderId="0" xfId="1" applyFont="1" applyFill="1" applyBorder="1" applyAlignment="1">
      <alignment horizontal="center" vertical="center"/>
    </xf>
    <xf numFmtId="44" fontId="0" fillId="0" borderId="0" xfId="1" applyFont="1" applyAlignment="1">
      <alignment vertical="center"/>
    </xf>
    <xf numFmtId="44" fontId="0" fillId="0" borderId="6" xfId="1" applyFont="1" applyBorder="1" applyAlignment="1">
      <alignment vertical="center"/>
    </xf>
    <xf numFmtId="44" fontId="0" fillId="0" borderId="0" xfId="1" applyFont="1" applyBorder="1" applyAlignment="1">
      <alignment vertical="center"/>
    </xf>
    <xf numFmtId="0" fontId="51" fillId="0" borderId="0" xfId="0" applyFont="1" applyAlignment="1">
      <alignment horizontal="right" vertical="center" wrapText="1"/>
    </xf>
    <xf numFmtId="0" fontId="52" fillId="0" borderId="1" xfId="0" applyFont="1" applyBorder="1" applyAlignment="1">
      <alignment vertical="center"/>
    </xf>
    <xf numFmtId="182" fontId="50" fillId="0" borderId="1" xfId="0" applyNumberFormat="1" applyFont="1" applyFill="1" applyBorder="1" applyAlignment="1">
      <alignment horizontal="center" vertical="center"/>
    </xf>
    <xf numFmtId="0" fontId="50" fillId="0" borderId="0" xfId="0" applyFont="1" applyAlignment="1">
      <alignment horizontal="left" vertical="center"/>
    </xf>
    <xf numFmtId="0" fontId="42" fillId="0" borderId="0" xfId="3" applyAlignment="1">
      <alignment vertical="top" wrapText="1"/>
    </xf>
    <xf numFmtId="182" fontId="50" fillId="0" borderId="3" xfId="0" applyNumberFormat="1" applyFont="1" applyFill="1" applyBorder="1" applyAlignment="1">
      <alignment horizontal="right" vertical="center" wrapText="1"/>
    </xf>
    <xf numFmtId="20" fontId="50" fillId="2" borderId="5" xfId="0" applyNumberFormat="1"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20" fontId="50" fillId="2" borderId="2" xfId="0" applyNumberFormat="1" applyFont="1" applyFill="1" applyBorder="1" applyAlignment="1">
      <alignment horizontal="center" vertical="center"/>
    </xf>
    <xf numFmtId="0" fontId="43" fillId="0" borderId="0" xfId="3" applyFont="1" applyAlignment="1">
      <alignment vertical="center"/>
    </xf>
    <xf numFmtId="187" fontId="51" fillId="0" borderId="5" xfId="0" applyNumberFormat="1" applyFont="1" applyFill="1" applyBorder="1" applyAlignment="1">
      <alignment horizontal="center" vertical="center" wrapText="1"/>
    </xf>
    <xf numFmtId="2" fontId="50" fillId="0" borderId="0" xfId="0"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178" fontId="50" fillId="0" borderId="0" xfId="2" applyNumberFormat="1"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8" fillId="0" borderId="0" xfId="0" applyFont="1" applyAlignment="1">
      <alignment vertical="center" wrapText="1"/>
    </xf>
    <xf numFmtId="0" fontId="51" fillId="0" borderId="0" xfId="0" applyFont="1" applyAlignment="1">
      <alignment horizontal="center"/>
    </xf>
    <xf numFmtId="0" fontId="50" fillId="0" borderId="1" xfId="0" applyFont="1" applyFill="1" applyBorder="1" applyAlignment="1">
      <alignment horizontal="center" vertical="center"/>
    </xf>
    <xf numFmtId="0" fontId="50" fillId="0" borderId="3" xfId="0" applyFont="1" applyFill="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169" fontId="50" fillId="2" borderId="1" xfId="2" applyNumberFormat="1" applyFont="1" applyFill="1" applyBorder="1" applyAlignment="1">
      <alignment horizontal="center" vertical="center"/>
    </xf>
    <xf numFmtId="169" fontId="50" fillId="2" borderId="2" xfId="2" applyNumberFormat="1" applyFont="1" applyFill="1" applyBorder="1" applyAlignment="1">
      <alignment horizontal="center" vertical="center"/>
    </xf>
    <xf numFmtId="169" fontId="50" fillId="2" borderId="3" xfId="2" applyNumberFormat="1"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44" fontId="50" fillId="2" borderId="5" xfId="1" applyFont="1" applyFill="1" applyBorder="1" applyAlignment="1">
      <alignment horizontal="center" vertical="center"/>
    </xf>
    <xf numFmtId="186" fontId="50" fillId="2" borderId="1" xfId="0" applyNumberFormat="1" applyFont="1" applyFill="1" applyBorder="1" applyAlignment="1">
      <alignment horizontal="center" vertical="center"/>
    </xf>
    <xf numFmtId="186" fontId="50" fillId="2" borderId="2" xfId="0" applyNumberFormat="1" applyFont="1" applyFill="1" applyBorder="1" applyAlignment="1">
      <alignment horizontal="center" vertical="center"/>
    </xf>
    <xf numFmtId="186" fontId="50" fillId="2" borderId="3" xfId="0" applyNumberFormat="1" applyFont="1" applyFill="1" applyBorder="1" applyAlignment="1">
      <alignment horizontal="center" vertical="center"/>
    </xf>
    <xf numFmtId="169" fontId="50" fillId="2" borderId="5" xfId="2" applyNumberFormat="1" applyFont="1" applyFill="1" applyBorder="1" applyAlignment="1">
      <alignment horizontal="center" vertical="center"/>
    </xf>
    <xf numFmtId="172" fontId="50" fillId="2" borderId="5" xfId="1" applyNumberFormat="1" applyFont="1" applyFill="1" applyBorder="1" applyAlignment="1">
      <alignment horizontal="center" vertical="center"/>
    </xf>
    <xf numFmtId="191" fontId="50" fillId="2" borderId="5" xfId="0" applyNumberFormat="1" applyFont="1" applyFill="1" applyBorder="1" applyAlignment="1">
      <alignment horizontal="center" vertical="center" wrapText="1"/>
    </xf>
    <xf numFmtId="181" fontId="64" fillId="0" borderId="0" xfId="0" applyNumberFormat="1" applyFont="1" applyAlignment="1">
      <alignment horizontal="center"/>
    </xf>
    <xf numFmtId="0" fontId="64" fillId="0" borderId="0" xfId="0" applyFont="1" applyAlignment="1">
      <alignment horizontal="center"/>
    </xf>
    <xf numFmtId="185" fontId="50" fillId="2" borderId="5" xfId="2" applyNumberFormat="1" applyFont="1" applyFill="1" applyBorder="1" applyAlignment="1">
      <alignment horizontal="center" vertical="center"/>
    </xf>
    <xf numFmtId="9" fontId="50" fillId="2" borderId="1" xfId="2" applyNumberFormat="1" applyFont="1" applyFill="1" applyBorder="1" applyAlignment="1">
      <alignment horizontal="center" vertical="center"/>
    </xf>
    <xf numFmtId="9" fontId="50" fillId="2" borderId="2" xfId="2" applyNumberFormat="1" applyFont="1" applyFill="1" applyBorder="1" applyAlignment="1">
      <alignment horizontal="center" vertical="center"/>
    </xf>
    <xf numFmtId="9" fontId="50" fillId="2" borderId="3" xfId="2" applyNumberFormat="1" applyFont="1" applyFill="1" applyBorder="1" applyAlignment="1">
      <alignment horizontal="center" vertical="center"/>
    </xf>
    <xf numFmtId="187" fontId="50" fillId="2" borderId="5" xfId="0" applyNumberFormat="1" applyFont="1" applyFill="1" applyBorder="1" applyAlignment="1">
      <alignment horizontal="center" vertical="center" wrapText="1"/>
    </xf>
    <xf numFmtId="187" fontId="50" fillId="2" borderId="3" xfId="0" applyNumberFormat="1" applyFont="1" applyFill="1" applyBorder="1" applyAlignment="1">
      <alignment horizontal="center" vertical="center"/>
    </xf>
    <xf numFmtId="191" fontId="50" fillId="0" borderId="5" xfId="0" applyNumberFormat="1" applyFont="1" applyFill="1" applyBorder="1" applyAlignment="1">
      <alignment horizontal="center" vertical="center" wrapText="1"/>
    </xf>
    <xf numFmtId="182" fontId="50" fillId="0" borderId="5" xfId="0" applyNumberFormat="1" applyFont="1" applyFill="1" applyBorder="1" applyAlignment="1">
      <alignment horizontal="center" vertical="center" wrapText="1"/>
    </xf>
    <xf numFmtId="16" fontId="50" fillId="0" borderId="5" xfId="0" applyNumberFormat="1" applyFont="1" applyBorder="1" applyAlignment="1">
      <alignment horizontal="center" vertical="center"/>
    </xf>
    <xf numFmtId="192" fontId="50" fillId="2" borderId="5" xfId="0" applyNumberFormat="1" applyFont="1" applyFill="1" applyBorder="1" applyAlignment="1">
      <alignment horizontal="center" vertical="center" wrapText="1"/>
    </xf>
    <xf numFmtId="192" fontId="50" fillId="0" borderId="5" xfId="0" applyNumberFormat="1" applyFont="1" applyBorder="1" applyAlignment="1">
      <alignment horizontal="center" vertical="center"/>
    </xf>
    <xf numFmtId="192" fontId="50" fillId="2" borderId="5" xfId="0" applyNumberFormat="1" applyFont="1" applyFill="1" applyBorder="1" applyAlignment="1">
      <alignment horizontal="center" vertical="center"/>
    </xf>
    <xf numFmtId="192" fontId="50" fillId="0" borderId="1" xfId="0" applyNumberFormat="1" applyFont="1" applyBorder="1" applyAlignment="1">
      <alignment horizontal="center" vertical="center" wrapText="1"/>
    </xf>
    <xf numFmtId="192" fontId="51" fillId="2" borderId="5" xfId="0" applyNumberFormat="1" applyFont="1" applyFill="1" applyBorder="1" applyAlignment="1">
      <alignment horizontal="center" vertical="center" wrapText="1"/>
    </xf>
    <xf numFmtId="192" fontId="50" fillId="0" borderId="5" xfId="0" applyNumberFormat="1" applyFont="1" applyBorder="1" applyAlignment="1">
      <alignment horizontal="center" vertical="center" wrapText="1"/>
    </xf>
    <xf numFmtId="182" fontId="60" fillId="0" borderId="1" xfId="0" applyNumberFormat="1" applyFont="1" applyFill="1" applyBorder="1" applyAlignment="1">
      <alignment horizontal="right"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65" fillId="0" borderId="0" xfId="3" applyFont="1" applyAlignment="1">
      <alignment vertical="center"/>
    </xf>
    <xf numFmtId="178" fontId="50" fillId="2" borderId="1" xfId="0" applyNumberFormat="1" applyFont="1" applyFill="1" applyBorder="1" applyAlignment="1">
      <alignment horizontal="center" vertical="center" wrapText="1"/>
    </xf>
    <xf numFmtId="187" fontId="50" fillId="2" borderId="3" xfId="0" applyNumberFormat="1" applyFont="1" applyFill="1" applyBorder="1" applyAlignment="1">
      <alignment horizontal="center" vertical="center" wrapText="1"/>
    </xf>
    <xf numFmtId="187" fontId="50" fillId="2" borderId="2" xfId="0" applyNumberFormat="1" applyFont="1" applyFill="1" applyBorder="1" applyAlignment="1">
      <alignment horizontal="center" vertical="center" wrapText="1"/>
    </xf>
    <xf numFmtId="0" fontId="60" fillId="0" borderId="0" xfId="0" applyFont="1" applyFill="1" applyAlignment="1">
      <alignment horizontal="center" vertical="center" wrapText="1"/>
    </xf>
    <xf numFmtId="191" fontId="60" fillId="0" borderId="0" xfId="0" applyNumberFormat="1" applyFont="1" applyFill="1" applyBorder="1" applyAlignment="1">
      <alignment horizontal="center" vertical="center" wrapText="1"/>
    </xf>
    <xf numFmtId="166" fontId="60" fillId="0" borderId="0" xfId="0" applyNumberFormat="1" applyFont="1" applyFill="1" applyBorder="1" applyAlignment="1">
      <alignment horizontal="center" vertical="center" wrapText="1"/>
    </xf>
    <xf numFmtId="2" fontId="60" fillId="0" borderId="0" xfId="0" applyNumberFormat="1" applyFont="1" applyFill="1" applyAlignment="1">
      <alignment horizontal="center" vertical="center"/>
    </xf>
    <xf numFmtId="0" fontId="66" fillId="0" borderId="0" xfId="0" applyFont="1"/>
    <xf numFmtId="192" fontId="51" fillId="2" borderId="1" xfId="0" applyNumberFormat="1" applyFont="1" applyFill="1" applyBorder="1" applyAlignment="1">
      <alignment horizontal="center" vertical="center" wrapText="1"/>
    </xf>
    <xf numFmtId="192" fontId="50" fillId="2" borderId="3" xfId="0" applyNumberFormat="1" applyFont="1" applyFill="1" applyBorder="1" applyAlignment="1">
      <alignment horizontal="center" vertical="center" wrapText="1"/>
    </xf>
    <xf numFmtId="0" fontId="52"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left" vertical="center" wrapText="1"/>
    </xf>
    <xf numFmtId="191" fontId="50" fillId="0" borderId="0" xfId="0" applyNumberFormat="1" applyFont="1" applyFill="1" applyBorder="1" applyAlignment="1">
      <alignment horizontal="center" vertical="center" wrapText="1"/>
    </xf>
    <xf numFmtId="166" fontId="50" fillId="0" borderId="0" xfId="0" applyNumberFormat="1" applyFont="1" applyFill="1" applyBorder="1" applyAlignment="1">
      <alignment horizontal="center" vertical="center" wrapText="1"/>
    </xf>
    <xf numFmtId="0" fontId="66" fillId="0" borderId="0" xfId="0" applyFont="1" applyFill="1"/>
    <xf numFmtId="0" fontId="50" fillId="0" borderId="13" xfId="0" applyFont="1" applyBorder="1" applyAlignment="1">
      <alignment vertical="center"/>
    </xf>
    <xf numFmtId="14" fontId="50" fillId="0" borderId="5" xfId="0" applyNumberFormat="1" applyFont="1" applyBorder="1" applyAlignment="1">
      <alignment horizontal="center" vertical="center"/>
    </xf>
    <xf numFmtId="192" fontId="50" fillId="0" borderId="5" xfId="0" applyNumberFormat="1" applyFont="1" applyFill="1" applyBorder="1" applyAlignment="1">
      <alignment horizontal="center" vertical="center" wrapText="1"/>
    </xf>
    <xf numFmtId="193" fontId="58" fillId="0" borderId="7" xfId="0" applyNumberFormat="1" applyFont="1" applyBorder="1" applyAlignment="1">
      <alignment horizontal="center" vertical="center" wrapText="1"/>
    </xf>
    <xf numFmtId="178" fontId="50" fillId="2" borderId="5" xfId="0" applyNumberFormat="1" applyFont="1" applyFill="1" applyBorder="1" applyAlignment="1">
      <alignment horizontal="center" vertical="center" wrapText="1"/>
    </xf>
    <xf numFmtId="193" fontId="50" fillId="0" borderId="0" xfId="0" applyNumberFormat="1" applyFont="1" applyAlignment="1">
      <alignment horizontal="center" vertical="center"/>
    </xf>
    <xf numFmtId="2" fontId="50" fillId="0" borderId="2" xfId="0" applyNumberFormat="1" applyFont="1" applyFill="1" applyBorder="1" applyAlignment="1">
      <alignment horizontal="center" vertical="center"/>
    </xf>
    <xf numFmtId="193" fontId="51" fillId="2" borderId="1" xfId="0" applyNumberFormat="1" applyFont="1" applyFill="1" applyBorder="1" applyAlignment="1">
      <alignment horizontal="center" vertical="center"/>
    </xf>
    <xf numFmtId="193" fontId="51" fillId="2" borderId="3" xfId="0" applyNumberFormat="1" applyFont="1" applyFill="1" applyBorder="1" applyAlignment="1">
      <alignment horizontal="center" vertical="center"/>
    </xf>
    <xf numFmtId="182" fontId="60" fillId="0" borderId="1" xfId="0" applyNumberFormat="1" applyFont="1" applyFill="1" applyBorder="1" applyAlignment="1">
      <alignment horizontal="center" vertical="center" wrapText="1"/>
    </xf>
    <xf numFmtId="191" fontId="50" fillId="0" borderId="3" xfId="0" applyNumberFormat="1" applyFont="1" applyFill="1" applyBorder="1" applyAlignment="1">
      <alignment horizontal="center" vertical="center" wrapText="1"/>
    </xf>
    <xf numFmtId="183" fontId="51" fillId="2" borderId="1" xfId="0" applyNumberFormat="1" applyFont="1" applyFill="1" applyBorder="1" applyAlignment="1">
      <alignment horizontal="center" vertical="center" wrapText="1"/>
    </xf>
    <xf numFmtId="183" fontId="51" fillId="2" borderId="2" xfId="0" applyNumberFormat="1" applyFont="1" applyFill="1" applyBorder="1" applyAlignment="1">
      <alignment horizontal="center" vertical="center" wrapText="1"/>
    </xf>
    <xf numFmtId="166" fontId="50" fillId="0" borderId="5" xfId="0" applyNumberFormat="1" applyFont="1" applyFill="1" applyBorder="1" applyAlignment="1">
      <alignment horizontal="center" vertical="center" wrapText="1"/>
    </xf>
    <xf numFmtId="0" fontId="60" fillId="0" borderId="0" xfId="0" applyFont="1" applyFill="1" applyAlignment="1">
      <alignment horizontal="center" vertical="center"/>
    </xf>
    <xf numFmtId="0" fontId="2" fillId="0" borderId="0" xfId="0" applyFont="1" applyAlignment="1">
      <alignment horizontal="center"/>
    </xf>
    <xf numFmtId="0" fontId="50" fillId="0" borderId="0" xfId="0" applyFont="1" applyAlignment="1">
      <alignment horizontal="left" vertical="center"/>
    </xf>
    <xf numFmtId="0" fontId="50" fillId="0" borderId="0" xfId="0" applyFont="1" applyAlignment="1">
      <alignment horizontal="left" vertical="center" wrapText="1"/>
    </xf>
    <xf numFmtId="1" fontId="50" fillId="2" borderId="5" xfId="0" applyNumberFormat="1" applyFont="1" applyFill="1" applyBorder="1" applyAlignment="1">
      <alignment horizontal="center" vertical="center" wrapText="1"/>
    </xf>
    <xf numFmtId="178" fontId="50" fillId="2" borderId="2" xfId="0" applyNumberFormat="1" applyFont="1" applyFill="1" applyBorder="1" applyAlignment="1">
      <alignment horizontal="center" vertical="center" wrapText="1"/>
    </xf>
    <xf numFmtId="1" fontId="51" fillId="0" borderId="5" xfId="0" applyNumberFormat="1" applyFont="1" applyFill="1" applyBorder="1" applyAlignment="1">
      <alignment horizontal="center" vertical="center" wrapText="1"/>
    </xf>
    <xf numFmtId="9" fontId="50" fillId="0" borderId="0" xfId="2"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xf>
    <xf numFmtId="0" fontId="66" fillId="0" borderId="0" xfId="0" applyFont="1" applyAlignment="1">
      <alignment horizontal="left"/>
    </xf>
    <xf numFmtId="0" fontId="66" fillId="0" borderId="0" xfId="0" applyFont="1" applyFill="1" applyAlignment="1">
      <alignment horizontal="left"/>
    </xf>
    <xf numFmtId="164" fontId="50" fillId="0" borderId="0" xfId="2" applyNumberFormat="1" applyFont="1" applyAlignment="1">
      <alignment horizontal="left" vertical="center"/>
    </xf>
    <xf numFmtId="0" fontId="58" fillId="0" borderId="0" xfId="0" applyFont="1" applyAlignment="1">
      <alignment horizontal="left" vertical="center"/>
    </xf>
    <xf numFmtId="2" fontId="50" fillId="0" borderId="0" xfId="0" applyNumberFormat="1" applyFont="1" applyAlignment="1">
      <alignment horizontal="left" vertical="center"/>
    </xf>
    <xf numFmtId="0" fontId="60" fillId="0" borderId="0" xfId="0" applyFont="1" applyFill="1" applyAlignment="1">
      <alignment horizontal="left" vertical="center"/>
    </xf>
    <xf numFmtId="192" fontId="50" fillId="2" borderId="2" xfId="0" applyNumberFormat="1" applyFont="1" applyFill="1" applyBorder="1" applyAlignment="1">
      <alignment horizontal="center" vertical="center" wrapText="1"/>
    </xf>
    <xf numFmtId="192" fontId="60" fillId="2" borderId="5" xfId="0" applyNumberFormat="1" applyFont="1" applyFill="1" applyBorder="1" applyAlignment="1">
      <alignment horizontal="center" vertical="center" wrapText="1"/>
    </xf>
    <xf numFmtId="194" fontId="50" fillId="0" borderId="5" xfId="0" applyNumberFormat="1" applyFont="1" applyBorder="1" applyAlignment="1">
      <alignment horizontal="center" vertical="center"/>
    </xf>
    <xf numFmtId="0" fontId="51" fillId="0" borderId="1" xfId="0" applyFont="1" applyBorder="1" applyAlignment="1">
      <alignment vertical="center"/>
    </xf>
    <xf numFmtId="192" fontId="60" fillId="2" borderId="1" xfId="0" applyNumberFormat="1" applyFont="1" applyFill="1" applyBorder="1" applyAlignment="1">
      <alignment horizontal="center" vertical="center" wrapText="1"/>
    </xf>
    <xf numFmtId="192" fontId="60" fillId="2" borderId="2" xfId="0" applyNumberFormat="1" applyFont="1" applyFill="1" applyBorder="1" applyAlignment="1">
      <alignment horizontal="center" vertical="center" wrapText="1"/>
    </xf>
    <xf numFmtId="195" fontId="60" fillId="2" borderId="3" xfId="0" applyNumberFormat="1" applyFont="1" applyFill="1" applyBorder="1" applyAlignment="1">
      <alignment horizontal="center" vertical="center" wrapText="1"/>
    </xf>
    <xf numFmtId="196" fontId="50" fillId="0" borderId="0" xfId="1" applyNumberFormat="1" applyFont="1" applyAlignment="1">
      <alignment horizontal="center" vertical="center"/>
    </xf>
    <xf numFmtId="196" fontId="50" fillId="0" borderId="0" xfId="0" applyNumberFormat="1" applyFont="1" applyAlignment="1">
      <alignment vertical="center"/>
    </xf>
    <xf numFmtId="196" fontId="50" fillId="0" borderId="0" xfId="0" applyNumberFormat="1" applyFont="1" applyAlignment="1">
      <alignment horizontal="center" vertical="center"/>
    </xf>
    <xf numFmtId="196" fontId="51" fillId="0" borderId="0" xfId="1" applyNumberFormat="1" applyFont="1" applyAlignment="1">
      <alignment horizontal="right" vertical="center"/>
    </xf>
    <xf numFmtId="197" fontId="50" fillId="0" borderId="0" xfId="0" applyNumberFormat="1" applyFont="1" applyBorder="1" applyAlignment="1">
      <alignment horizontal="center" vertical="center"/>
    </xf>
    <xf numFmtId="192" fontId="60" fillId="0" borderId="2" xfId="0" applyNumberFormat="1" applyFont="1" applyFill="1" applyBorder="1" applyAlignment="1">
      <alignment horizontal="center" vertical="center" wrapText="1"/>
    </xf>
    <xf numFmtId="0" fontId="50" fillId="0" borderId="6" xfId="0" applyFont="1" applyBorder="1" applyAlignment="1">
      <alignment vertical="center"/>
    </xf>
    <xf numFmtId="44" fontId="50" fillId="0" borderId="6" xfId="1" applyFont="1" applyBorder="1" applyAlignment="1">
      <alignment horizontal="center" vertical="center"/>
    </xf>
    <xf numFmtId="185" fontId="50" fillId="2" borderId="5" xfId="0" applyNumberFormat="1"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14" fontId="0" fillId="0" borderId="0" xfId="0" applyNumberFormat="1" applyBorder="1" applyAlignment="1">
      <alignment horizontal="center" vertical="center"/>
    </xf>
    <xf numFmtId="190" fontId="31" fillId="0" borderId="0" xfId="1" applyNumberFormat="1" applyFont="1" applyFill="1" applyAlignment="1">
      <alignment vertical="center"/>
    </xf>
    <xf numFmtId="0" fontId="19" fillId="0" borderId="0" xfId="0" applyFont="1" applyAlignment="1">
      <alignment vertical="top" wrapText="1"/>
    </xf>
    <xf numFmtId="196" fontId="50" fillId="0" borderId="0" xfId="1" applyNumberFormat="1" applyFont="1" applyFill="1" applyAlignment="1">
      <alignment horizontal="center" vertical="center"/>
    </xf>
    <xf numFmtId="196" fontId="50" fillId="0" borderId="0" xfId="0" applyNumberFormat="1" applyFont="1" applyFill="1" applyAlignment="1">
      <alignment horizontal="center" vertical="center"/>
    </xf>
    <xf numFmtId="0" fontId="58" fillId="0" borderId="0" xfId="0" applyFont="1" applyFill="1" applyAlignment="1">
      <alignment vertical="center"/>
    </xf>
    <xf numFmtId="2" fontId="50" fillId="0" borderId="0" xfId="1" applyNumberFormat="1" applyFont="1" applyBorder="1" applyAlignment="1">
      <alignment horizontal="center" vertical="center"/>
    </xf>
    <xf numFmtId="185" fontId="50" fillId="2" borderId="3" xfId="2" applyNumberFormat="1" applyFont="1" applyFill="1" applyBorder="1" applyAlignment="1">
      <alignment horizontal="center" vertical="center"/>
    </xf>
    <xf numFmtId="185" fontId="50" fillId="2" borderId="1" xfId="2" applyNumberFormat="1" applyFont="1" applyFill="1" applyBorder="1" applyAlignment="1">
      <alignment horizontal="center" vertical="center"/>
    </xf>
    <xf numFmtId="2" fontId="50" fillId="0" borderId="4" xfId="1" applyNumberFormat="1" applyFont="1" applyBorder="1" applyAlignment="1">
      <alignment horizontal="center" vertical="center"/>
    </xf>
    <xf numFmtId="185" fontId="50" fillId="2" borderId="2" xfId="2" applyNumberFormat="1" applyFont="1" applyFill="1" applyBorder="1" applyAlignment="1">
      <alignment horizontal="center" vertical="center"/>
    </xf>
    <xf numFmtId="195" fontId="60" fillId="0" borderId="3" xfId="0" applyNumberFormat="1" applyFont="1" applyFill="1" applyBorder="1" applyAlignment="1">
      <alignment horizontal="center" vertical="center" wrapText="1"/>
    </xf>
    <xf numFmtId="195" fontId="60" fillId="0" borderId="0" xfId="0" applyNumberFormat="1" applyFont="1" applyFill="1" applyBorder="1" applyAlignment="1">
      <alignment horizontal="center" vertical="center" wrapText="1"/>
    </xf>
    <xf numFmtId="192" fontId="50" fillId="2" borderId="1" xfId="0" applyNumberFormat="1" applyFont="1" applyFill="1" applyBorder="1" applyAlignment="1">
      <alignment horizontal="center" vertical="center" wrapText="1"/>
    </xf>
    <xf numFmtId="192" fontId="50" fillId="0" borderId="1" xfId="0" applyNumberFormat="1" applyFont="1" applyFill="1" applyBorder="1" applyAlignment="1">
      <alignment horizontal="center" vertical="center" wrapText="1"/>
    </xf>
    <xf numFmtId="192" fontId="51" fillId="2" borderId="14" xfId="0" applyNumberFormat="1" applyFont="1" applyFill="1" applyBorder="1" applyAlignment="1">
      <alignment horizontal="center" vertical="center" wrapText="1"/>
    </xf>
    <xf numFmtId="192" fontId="50" fillId="2" borderId="14" xfId="0" applyNumberFormat="1" applyFont="1" applyFill="1" applyBorder="1" applyAlignment="1">
      <alignment horizontal="center" vertical="center" wrapText="1"/>
    </xf>
    <xf numFmtId="192" fontId="50" fillId="2" borderId="15" xfId="0" applyNumberFormat="1" applyFont="1" applyFill="1" applyBorder="1" applyAlignment="1">
      <alignment horizontal="center" vertical="center" wrapText="1"/>
    </xf>
    <xf numFmtId="192" fontId="50" fillId="2" borderId="16" xfId="0" applyNumberFormat="1"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194" fontId="50" fillId="0" borderId="0" xfId="0" applyNumberFormat="1" applyFont="1" applyBorder="1" applyAlignment="1">
      <alignment horizontal="center" vertical="center"/>
    </xf>
    <xf numFmtId="0" fontId="60" fillId="0" borderId="0" xfId="0" applyFont="1" applyFill="1" applyBorder="1" applyAlignment="1">
      <alignment horizontal="center" vertical="center" wrapText="1"/>
    </xf>
    <xf numFmtId="192" fontId="51" fillId="2" borderId="10" xfId="0" applyNumberFormat="1" applyFont="1" applyFill="1" applyBorder="1" applyAlignment="1">
      <alignment horizontal="center" vertical="center" wrapText="1"/>
    </xf>
    <xf numFmtId="194" fontId="50" fillId="0" borderId="17" xfId="0" applyNumberFormat="1" applyFont="1" applyBorder="1" applyAlignment="1">
      <alignment horizontal="center" vertical="center"/>
    </xf>
    <xf numFmtId="194" fontId="50" fillId="0" borderId="6" xfId="0" applyNumberFormat="1" applyFont="1" applyBorder="1" applyAlignment="1">
      <alignment horizontal="center" vertical="center"/>
    </xf>
    <xf numFmtId="191" fontId="60" fillId="0" borderId="0" xfId="0" applyNumberFormat="1" applyFont="1" applyFill="1" applyBorder="1" applyAlignment="1">
      <alignment horizontal="center" wrapText="1"/>
    </xf>
    <xf numFmtId="0" fontId="62" fillId="0" borderId="0" xfId="3" applyFont="1" applyAlignment="1">
      <alignment vertical="center"/>
    </xf>
    <xf numFmtId="192" fontId="60" fillId="0" borderId="3" xfId="0" applyNumberFormat="1" applyFont="1" applyFill="1" applyBorder="1" applyAlignment="1">
      <alignment horizontal="center" vertical="center" wrapText="1"/>
    </xf>
    <xf numFmtId="0" fontId="50" fillId="0" borderId="0" xfId="0" applyFont="1" applyAlignment="1">
      <alignment horizontal="left" vertical="center"/>
    </xf>
    <xf numFmtId="0" fontId="51" fillId="0" borderId="17" xfId="0" applyFont="1" applyBorder="1" applyAlignment="1">
      <alignment horizontal="right" vertical="center"/>
    </xf>
    <xf numFmtId="0" fontId="51" fillId="0" borderId="12" xfId="0" applyFont="1" applyBorder="1" applyAlignment="1">
      <alignment horizontal="right" vertical="center"/>
    </xf>
    <xf numFmtId="0" fontId="50"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1" fillId="0" borderId="0" xfId="0" applyFont="1" applyBorder="1" applyAlignment="1">
      <alignment horizontal="center" vertical="center" wrapText="1"/>
    </xf>
    <xf numFmtId="178" fontId="50" fillId="2" borderId="3" xfId="0" applyNumberFormat="1" applyFont="1" applyFill="1" applyBorder="1" applyAlignment="1">
      <alignment horizontal="center" vertical="center" wrapText="1"/>
    </xf>
    <xf numFmtId="187" fontId="51" fillId="2" borderId="5" xfId="0" applyNumberFormat="1" applyFont="1" applyFill="1" applyBorder="1" applyAlignment="1">
      <alignment horizontal="center" vertical="center" wrapText="1"/>
    </xf>
    <xf numFmtId="0" fontId="54" fillId="0" borderId="0" xfId="3" applyFont="1" applyAlignment="1">
      <alignment vertical="center"/>
    </xf>
    <xf numFmtId="182" fontId="50" fillId="0" borderId="1" xfId="0" applyNumberFormat="1" applyFont="1" applyFill="1" applyBorder="1" applyAlignment="1">
      <alignment horizontal="center" vertical="center" wrapText="1"/>
    </xf>
    <xf numFmtId="0" fontId="64" fillId="0" borderId="17" xfId="0" applyFont="1" applyBorder="1" applyAlignment="1">
      <alignment horizontal="right" vertical="center"/>
    </xf>
    <xf numFmtId="0" fontId="64" fillId="0" borderId="0" xfId="0" applyFont="1" applyAlignment="1">
      <alignment horizontal="right" vertical="center"/>
    </xf>
    <xf numFmtId="192" fontId="50" fillId="0" borderId="0" xfId="0" applyNumberFormat="1" applyFont="1" applyFill="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Border="1" applyAlignment="1">
      <alignment horizontal="left" vertical="center"/>
    </xf>
    <xf numFmtId="0" fontId="34" fillId="0" borderId="0" xfId="0" applyFont="1" applyAlignment="1"/>
    <xf numFmtId="164" fontId="50" fillId="0" borderId="0" xfId="2" applyNumberFormat="1" applyFont="1" applyFill="1" applyBorder="1" applyAlignment="1">
      <alignment horizontal="center" vertical="center"/>
    </xf>
    <xf numFmtId="0" fontId="50" fillId="0" borderId="0" xfId="0" applyFont="1" applyAlignment="1">
      <alignment horizontal="left" vertical="center"/>
    </xf>
    <xf numFmtId="0" fontId="42" fillId="0" borderId="0" xfId="3" applyAlignment="1">
      <alignment vertical="top"/>
    </xf>
    <xf numFmtId="185" fontId="50" fillId="2" borderId="11" xfId="2" applyNumberFormat="1" applyFont="1" applyFill="1" applyBorder="1" applyAlignment="1">
      <alignment horizontal="center" vertical="center"/>
    </xf>
    <xf numFmtId="0" fontId="50" fillId="0" borderId="0" xfId="0" applyFont="1" applyAlignment="1">
      <alignment horizontal="left" vertical="center" wrapText="1"/>
    </xf>
    <xf numFmtId="9" fontId="55" fillId="0" borderId="0" xfId="2" applyFont="1" applyFill="1" applyAlignment="1">
      <alignment horizontal="center" vertical="center" wrapText="1"/>
    </xf>
    <xf numFmtId="0" fontId="50" fillId="0" borderId="16" xfId="0" applyFont="1" applyBorder="1" applyAlignment="1">
      <alignment vertical="center"/>
    </xf>
    <xf numFmtId="2" fontId="55" fillId="0" borderId="0" xfId="2" applyNumberFormat="1" applyFont="1" applyFill="1" applyAlignment="1">
      <alignment horizontal="center" vertical="center" wrapText="1"/>
    </xf>
    <xf numFmtId="198" fontId="50" fillId="2" borderId="5" xfId="2" applyNumberFormat="1" applyFont="1" applyFill="1" applyBorder="1" applyAlignment="1">
      <alignment horizontal="center" vertical="center"/>
    </xf>
    <xf numFmtId="0" fontId="50" fillId="0" borderId="6" xfId="0" applyFont="1" applyFill="1" applyBorder="1" applyAlignment="1">
      <alignment vertical="center"/>
    </xf>
    <xf numFmtId="12" fontId="58" fillId="0" borderId="0" xfId="0" applyNumberFormat="1" applyFont="1" applyAlignment="1">
      <alignment vertical="center"/>
    </xf>
    <xf numFmtId="0" fontId="50" fillId="0" borderId="0" xfId="0" applyFont="1" applyAlignment="1">
      <alignment horizontal="left" vertical="center" wrapText="1"/>
    </xf>
    <xf numFmtId="194" fontId="50" fillId="0" borderId="12" xfId="0" applyNumberFormat="1" applyFont="1" applyBorder="1" applyAlignment="1">
      <alignment horizontal="center" vertical="center"/>
    </xf>
    <xf numFmtId="0" fontId="64" fillId="0" borderId="0" xfId="0" applyFont="1" applyBorder="1" applyAlignment="1">
      <alignment horizontal="center"/>
    </xf>
    <xf numFmtId="0" fontId="34" fillId="4" borderId="0" xfId="0" applyFont="1" applyFill="1" applyAlignment="1">
      <alignment vertical="center"/>
    </xf>
    <xf numFmtId="182" fontId="50" fillId="0" borderId="0" xfId="0" applyNumberFormat="1" applyFont="1" applyFill="1" applyBorder="1" applyAlignment="1">
      <alignment horizontal="center" vertical="center" wrapText="1"/>
    </xf>
    <xf numFmtId="182" fontId="50" fillId="0" borderId="17" xfId="0" applyNumberFormat="1" applyFont="1" applyFill="1" applyBorder="1" applyAlignment="1">
      <alignment horizontal="center" vertical="center" wrapText="1"/>
    </xf>
    <xf numFmtId="182" fontId="50" fillId="0" borderId="12" xfId="0" applyNumberFormat="1" applyFont="1" applyFill="1" applyBorder="1" applyAlignment="1">
      <alignment horizontal="center" vertical="center" wrapText="1"/>
    </xf>
    <xf numFmtId="0" fontId="70" fillId="0" borderId="0" xfId="0" applyFont="1" applyAlignment="1">
      <alignment horizontal="center" vertical="center"/>
    </xf>
    <xf numFmtId="0" fontId="0" fillId="0" borderId="0" xfId="0" applyAlignment="1">
      <alignment wrapText="1"/>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Border="1" applyAlignment="1">
      <alignment horizontal="left" vertical="center"/>
    </xf>
    <xf numFmtId="0" fontId="72" fillId="0" borderId="0" xfId="0" applyFont="1"/>
    <xf numFmtId="0" fontId="56" fillId="0" borderId="0" xfId="3" applyFont="1" applyBorder="1" applyAlignment="1">
      <alignment vertical="center"/>
    </xf>
    <xf numFmtId="0" fontId="71" fillId="0" borderId="0" xfId="0" applyFont="1" applyAlignment="1">
      <alignment horizontal="right" vertical="center" wrapText="1"/>
    </xf>
    <xf numFmtId="0" fontId="71" fillId="0" borderId="0" xfId="0" applyFont="1" applyAlignment="1">
      <alignment horizontal="left" vertical="top" wrapText="1"/>
    </xf>
    <xf numFmtId="0" fontId="71" fillId="0" borderId="0" xfId="0" applyFont="1" applyAlignment="1">
      <alignment horizontal="left"/>
    </xf>
    <xf numFmtId="0" fontId="71" fillId="0" borderId="0" xfId="0" applyFont="1" applyAlignment="1">
      <alignment horizontal="right" vertical="center"/>
    </xf>
    <xf numFmtId="0" fontId="71" fillId="0" borderId="0" xfId="0" applyFont="1" applyAlignment="1">
      <alignment horizontal="left" vertical="top"/>
    </xf>
    <xf numFmtId="0" fontId="71" fillId="0" borderId="0" xfId="0" applyFont="1" applyAlignment="1">
      <alignment horizontal="center" vertical="center"/>
    </xf>
    <xf numFmtId="0" fontId="50" fillId="0" borderId="0" xfId="0" applyFont="1" applyAlignment="1">
      <alignment horizontal="left" vertical="center"/>
    </xf>
    <xf numFmtId="0" fontId="74" fillId="0" borderId="0" xfId="4" applyNumberFormat="1" applyFont="1" applyFill="1" applyBorder="1" applyAlignment="1" applyProtection="1">
      <alignment horizontal="left" vertical="center"/>
      <protection locked="0"/>
    </xf>
    <xf numFmtId="0" fontId="75" fillId="0" borderId="0" xfId="4" applyFont="1" applyBorder="1" applyAlignment="1">
      <alignment vertical="center"/>
    </xf>
    <xf numFmtId="0" fontId="75" fillId="0" borderId="0" xfId="4" applyFont="1" applyBorder="1" applyAlignment="1">
      <alignment vertical="center" wrapText="1"/>
    </xf>
    <xf numFmtId="0" fontId="76" fillId="0" borderId="0" xfId="4" applyFont="1" applyAlignment="1">
      <alignment vertical="center"/>
    </xf>
    <xf numFmtId="0" fontId="76" fillId="0" borderId="0" xfId="4" applyFont="1" applyAlignment="1">
      <alignment horizontal="left" vertical="center"/>
    </xf>
    <xf numFmtId="0" fontId="77" fillId="0" borderId="0" xfId="4" applyFont="1" applyFill="1" applyBorder="1" applyAlignment="1" applyProtection="1">
      <alignment horizontal="left" vertical="center"/>
    </xf>
    <xf numFmtId="18" fontId="77" fillId="0" borderId="0" xfId="4" applyNumberFormat="1" applyFont="1" applyFill="1" applyBorder="1" applyAlignment="1" applyProtection="1">
      <alignment horizontal="left" vertical="center"/>
    </xf>
    <xf numFmtId="0" fontId="78" fillId="0" borderId="0" xfId="4" applyFont="1" applyFill="1" applyBorder="1" applyAlignment="1" applyProtection="1">
      <alignment vertical="center"/>
    </xf>
    <xf numFmtId="193" fontId="77" fillId="0" borderId="0" xfId="4" applyNumberFormat="1" applyFont="1" applyFill="1" applyBorder="1" applyAlignment="1" applyProtection="1">
      <alignment horizontal="center" vertical="center" wrapText="1"/>
    </xf>
    <xf numFmtId="193" fontId="79" fillId="0" borderId="0" xfId="4" applyNumberFormat="1" applyFont="1" applyFill="1" applyBorder="1" applyAlignment="1" applyProtection="1">
      <alignment horizontal="center" vertical="center" wrapText="1"/>
    </xf>
    <xf numFmtId="0" fontId="80" fillId="0" borderId="0" xfId="4" applyNumberFormat="1" applyFont="1" applyFill="1" applyBorder="1" applyAlignment="1" applyProtection="1">
      <alignment horizontal="left" vertical="center"/>
      <protection locked="0"/>
    </xf>
    <xf numFmtId="193" fontId="81" fillId="0" borderId="0" xfId="4" applyNumberFormat="1" applyFont="1" applyFill="1" applyAlignment="1">
      <alignment horizontal="center" vertical="center" wrapText="1"/>
    </xf>
    <xf numFmtId="0" fontId="75" fillId="0" borderId="0" xfId="4" applyFont="1" applyBorder="1" applyAlignment="1">
      <alignment horizontal="left" vertical="center"/>
    </xf>
    <xf numFmtId="171" fontId="83" fillId="5" borderId="18" xfId="4" applyNumberFormat="1" applyFont="1" applyFill="1" applyBorder="1" applyAlignment="1" applyProtection="1">
      <alignment horizontal="center" vertical="center" wrapText="1"/>
      <protection locked="0"/>
    </xf>
    <xf numFmtId="193" fontId="81" fillId="0" borderId="0" xfId="4" applyNumberFormat="1" applyFont="1" applyBorder="1" applyAlignment="1">
      <alignment horizontal="center" vertical="center" wrapText="1"/>
    </xf>
    <xf numFmtId="0" fontId="76" fillId="0" borderId="0" xfId="4" applyFont="1" applyAlignment="1">
      <alignment vertical="center" wrapText="1"/>
    </xf>
    <xf numFmtId="0" fontId="77" fillId="0" borderId="0" xfId="4" applyFont="1" applyFill="1" applyBorder="1" applyAlignment="1" applyProtection="1">
      <alignment horizontal="center" vertical="center" wrapText="1"/>
    </xf>
    <xf numFmtId="171" fontId="84" fillId="0" borderId="0" xfId="4" applyNumberFormat="1" applyFont="1" applyFill="1" applyBorder="1" applyAlignment="1" applyProtection="1">
      <alignment horizontal="center" vertical="center" wrapText="1"/>
    </xf>
    <xf numFmtId="0" fontId="85" fillId="0" borderId="19" xfId="4" applyFont="1" applyBorder="1" applyAlignment="1">
      <alignment horizontal="center" vertical="center" wrapText="1"/>
    </xf>
    <xf numFmtId="0" fontId="86" fillId="0" borderId="20" xfId="4" applyFont="1" applyBorder="1" applyAlignment="1">
      <alignment horizontal="center" vertical="center" wrapText="1"/>
    </xf>
    <xf numFmtId="193" fontId="87" fillId="6" borderId="21" xfId="4" applyNumberFormat="1" applyFont="1" applyFill="1" applyBorder="1" applyAlignment="1">
      <alignment horizontal="center" vertical="center" wrapText="1"/>
    </xf>
    <xf numFmtId="193" fontId="87" fillId="6" borderId="22" xfId="4" applyNumberFormat="1" applyFont="1" applyFill="1" applyBorder="1" applyAlignment="1">
      <alignment horizontal="center" vertical="center" wrapText="1"/>
    </xf>
    <xf numFmtId="0" fontId="85" fillId="0" borderId="23" xfId="4" applyFont="1" applyBorder="1" applyAlignment="1" applyProtection="1">
      <alignment horizontal="left" vertical="top"/>
      <protection locked="0"/>
    </xf>
    <xf numFmtId="0" fontId="79" fillId="0" borderId="0" xfId="4" applyFont="1" applyFill="1" applyBorder="1" applyAlignment="1" applyProtection="1">
      <alignment horizontal="center" vertical="center" wrapText="1"/>
    </xf>
    <xf numFmtId="0" fontId="85" fillId="0" borderId="24" xfId="4" applyFont="1" applyBorder="1" applyAlignment="1">
      <alignment horizontal="center" vertical="center"/>
    </xf>
    <xf numFmtId="18" fontId="85" fillId="0" borderId="25" xfId="4" applyNumberFormat="1" applyFont="1" applyBorder="1" applyAlignment="1">
      <alignment horizontal="center" vertical="center"/>
    </xf>
    <xf numFmtId="0" fontId="80" fillId="0" borderId="26" xfId="4" applyFont="1" applyBorder="1" applyAlignment="1">
      <alignment horizontal="center" vertical="center" wrapText="1"/>
    </xf>
    <xf numFmtId="0" fontId="81" fillId="0" borderId="26" xfId="4" applyFont="1" applyBorder="1" applyAlignment="1">
      <alignment horizontal="center" vertical="center" wrapText="1"/>
    </xf>
    <xf numFmtId="193" fontId="88" fillId="6" borderId="24" xfId="4" applyNumberFormat="1" applyFont="1" applyFill="1" applyBorder="1" applyAlignment="1">
      <alignment horizontal="center" vertical="center" wrapText="1"/>
    </xf>
    <xf numFmtId="193" fontId="88" fillId="6" borderId="22" xfId="4" applyNumberFormat="1" applyFont="1" applyFill="1" applyBorder="1" applyAlignment="1">
      <alignment horizontal="center" vertical="center" wrapText="1"/>
    </xf>
    <xf numFmtId="0" fontId="85" fillId="0" borderId="27" xfId="4" applyFont="1" applyBorder="1" applyAlignment="1" applyProtection="1">
      <alignment horizontal="left" vertical="top"/>
      <protection locked="0"/>
    </xf>
    <xf numFmtId="199" fontId="89" fillId="0" borderId="22" xfId="4" applyNumberFormat="1" applyFont="1" applyBorder="1" applyAlignment="1" applyProtection="1">
      <alignment horizontal="left" vertical="center"/>
      <protection locked="0"/>
    </xf>
    <xf numFmtId="18" fontId="89" fillId="0" borderId="5" xfId="4" applyNumberFormat="1" applyFont="1" applyBorder="1" applyAlignment="1" applyProtection="1">
      <alignment horizontal="left" vertical="center"/>
      <protection locked="0"/>
    </xf>
    <xf numFmtId="0" fontId="83" fillId="7" borderId="21" xfId="4" applyFont="1" applyFill="1" applyBorder="1" applyAlignment="1" applyProtection="1">
      <alignment horizontal="center" vertical="center"/>
      <protection locked="0"/>
    </xf>
    <xf numFmtId="171" fontId="90" fillId="7" borderId="24" xfId="4" applyNumberFormat="1" applyFont="1" applyFill="1" applyBorder="1" applyAlignment="1" applyProtection="1">
      <alignment horizontal="center" vertical="center"/>
      <protection locked="0"/>
    </xf>
    <xf numFmtId="193" fontId="91" fillId="6" borderId="24" xfId="4" applyNumberFormat="1" applyFont="1" applyFill="1" applyBorder="1" applyAlignment="1">
      <alignment horizontal="center" vertical="center"/>
    </xf>
    <xf numFmtId="171" fontId="91" fillId="6" borderId="22" xfId="4" applyNumberFormat="1" applyFont="1" applyFill="1" applyBorder="1" applyAlignment="1">
      <alignment horizontal="center" vertical="center"/>
    </xf>
    <xf numFmtId="0" fontId="92" fillId="0" borderId="27" xfId="4" applyFont="1" applyFill="1" applyBorder="1" applyAlignment="1" applyProtection="1">
      <alignment vertical="center"/>
      <protection locked="0"/>
    </xf>
    <xf numFmtId="199" fontId="93" fillId="0" borderId="0" xfId="4" applyNumberFormat="1" applyFont="1" applyFill="1" applyBorder="1" applyAlignment="1" applyProtection="1">
      <alignment horizontal="left" vertical="center"/>
    </xf>
    <xf numFmtId="18" fontId="93" fillId="0" borderId="0" xfId="4" applyNumberFormat="1" applyFont="1" applyFill="1" applyBorder="1" applyAlignment="1" applyProtection="1">
      <alignment horizontal="left" vertical="center"/>
    </xf>
    <xf numFmtId="0" fontId="84" fillId="0" borderId="0" xfId="4" applyFont="1" applyFill="1" applyBorder="1" applyAlignment="1" applyProtection="1">
      <alignment horizontal="center" vertical="center"/>
    </xf>
    <xf numFmtId="171" fontId="77" fillId="0" borderId="0" xfId="4" applyNumberFormat="1" applyFont="1" applyFill="1" applyBorder="1" applyAlignment="1" applyProtection="1">
      <alignment horizontal="center" vertical="center"/>
    </xf>
    <xf numFmtId="193" fontId="77" fillId="0" borderId="0" xfId="4" applyNumberFormat="1" applyFont="1" applyFill="1" applyBorder="1" applyAlignment="1" applyProtection="1">
      <alignment horizontal="center" vertical="center"/>
    </xf>
    <xf numFmtId="199" fontId="94" fillId="0" borderId="22" xfId="4" applyNumberFormat="1" applyFont="1" applyBorder="1" applyAlignment="1" applyProtection="1">
      <alignment horizontal="left" vertical="center"/>
      <protection locked="0"/>
    </xf>
    <xf numFmtId="18" fontId="94" fillId="0" borderId="5" xfId="4" applyNumberFormat="1" applyFont="1" applyBorder="1" applyAlignment="1" applyProtection="1">
      <alignment horizontal="left" vertical="center"/>
      <protection locked="0"/>
    </xf>
    <xf numFmtId="0" fontId="92" fillId="0" borderId="27" xfId="4" applyFont="1" applyBorder="1" applyAlignment="1" applyProtection="1">
      <alignment vertical="center"/>
      <protection locked="0"/>
    </xf>
    <xf numFmtId="0" fontId="92" fillId="0" borderId="28" xfId="4" applyFont="1" applyBorder="1" applyAlignment="1" applyProtection="1">
      <alignment vertical="center"/>
      <protection locked="0"/>
    </xf>
    <xf numFmtId="0" fontId="74" fillId="0" borderId="0" xfId="4" applyFont="1" applyBorder="1" applyAlignment="1">
      <alignment horizontal="left" vertical="center"/>
    </xf>
    <xf numFmtId="18" fontId="74" fillId="0" borderId="0" xfId="4" applyNumberFormat="1" applyFont="1" applyBorder="1" applyAlignment="1">
      <alignment horizontal="left" vertical="center"/>
    </xf>
    <xf numFmtId="0" fontId="95" fillId="0" borderId="0" xfId="4" applyFont="1" applyAlignment="1">
      <alignment horizontal="center" vertical="center"/>
    </xf>
    <xf numFmtId="193" fontId="95" fillId="0" borderId="0" xfId="4" applyNumberFormat="1" applyFont="1" applyAlignment="1">
      <alignment horizontal="center" vertical="center"/>
    </xf>
    <xf numFmtId="0" fontId="80" fillId="0" borderId="0" xfId="4" applyFont="1" applyBorder="1" applyAlignment="1">
      <alignment horizontal="left" vertical="center"/>
    </xf>
    <xf numFmtId="18" fontId="80" fillId="0" borderId="0" xfId="4" applyNumberFormat="1" applyFont="1" applyBorder="1" applyAlignment="1">
      <alignment horizontal="left" vertical="center"/>
    </xf>
    <xf numFmtId="0" fontId="92" fillId="0" borderId="0" xfId="4" applyFont="1" applyAlignment="1">
      <alignment vertical="center"/>
    </xf>
    <xf numFmtId="0" fontId="96" fillId="0" borderId="0" xfId="4" applyFont="1" applyAlignment="1">
      <alignment vertical="center"/>
    </xf>
    <xf numFmtId="0" fontId="74" fillId="0" borderId="0" xfId="4" applyFont="1" applyAlignment="1">
      <alignment vertical="center"/>
    </xf>
    <xf numFmtId="0" fontId="97" fillId="0" borderId="0" xfId="4" applyFont="1" applyAlignment="1">
      <alignment vertical="center"/>
    </xf>
    <xf numFmtId="193" fontId="82" fillId="0" borderId="0" xfId="4" applyNumberFormat="1" applyFont="1" applyBorder="1" applyAlignment="1">
      <alignment vertical="center" wrapText="1"/>
    </xf>
    <xf numFmtId="193" fontId="79" fillId="0" borderId="0" xfId="4" applyNumberFormat="1" applyFont="1" applyFill="1" applyBorder="1" applyAlignment="1" applyProtection="1">
      <alignment vertical="center" wrapText="1"/>
    </xf>
    <xf numFmtId="0" fontId="74" fillId="0" borderId="29" xfId="4" applyFont="1" applyBorder="1" applyAlignment="1">
      <alignment vertical="center"/>
    </xf>
    <xf numFmtId="0" fontId="74" fillId="0" borderId="30" xfId="4" applyFont="1" applyBorder="1" applyAlignment="1">
      <alignment vertical="center"/>
    </xf>
    <xf numFmtId="193" fontId="82" fillId="0" borderId="0" xfId="4" applyNumberFormat="1" applyFont="1" applyBorder="1" applyAlignment="1">
      <alignment horizontal="right" vertical="center"/>
    </xf>
    <xf numFmtId="171" fontId="90" fillId="7" borderId="21" xfId="4" applyNumberFormat="1" applyFont="1" applyFill="1" applyBorder="1" applyAlignment="1" applyProtection="1">
      <alignment horizontal="center" vertical="center"/>
      <protection locked="0"/>
    </xf>
    <xf numFmtId="171" fontId="91" fillId="6" borderId="22" xfId="4" applyNumberFormat="1" applyFont="1" applyFill="1" applyBorder="1" applyAlignment="1">
      <alignment horizontal="center" vertical="center" wrapText="1"/>
    </xf>
    <xf numFmtId="193" fontId="98" fillId="0" borderId="0" xfId="4" applyNumberFormat="1" applyFont="1" applyBorder="1" applyAlignment="1">
      <alignment horizontal="right" vertical="center"/>
    </xf>
    <xf numFmtId="0" fontId="99" fillId="0" borderId="0" xfId="4" applyFont="1" applyAlignment="1">
      <alignment vertical="center" wrapText="1"/>
    </xf>
    <xf numFmtId="193" fontId="98" fillId="0" borderId="0" xfId="4" applyNumberFormat="1" applyFont="1" applyBorder="1" applyAlignment="1">
      <alignment vertical="center" wrapText="1"/>
    </xf>
    <xf numFmtId="171" fontId="100" fillId="5" borderId="18" xfId="4" applyNumberFormat="1" applyFont="1" applyFill="1" applyBorder="1" applyAlignment="1" applyProtection="1">
      <alignment horizontal="center" vertical="center" wrapText="1"/>
      <protection locked="0"/>
    </xf>
    <xf numFmtId="193" fontId="90" fillId="0" borderId="0" xfId="4" applyNumberFormat="1" applyFont="1" applyBorder="1" applyAlignment="1">
      <alignment horizontal="center" vertical="center" wrapText="1"/>
    </xf>
    <xf numFmtId="193" fontId="101" fillId="0" borderId="0" xfId="4" applyNumberFormat="1" applyFont="1" applyFill="1" applyBorder="1" applyAlignment="1" applyProtection="1">
      <alignment vertical="center" wrapText="1"/>
    </xf>
    <xf numFmtId="0" fontId="85" fillId="0" borderId="0" xfId="4" applyFont="1" applyFill="1" applyBorder="1" applyAlignment="1" applyProtection="1">
      <alignment horizontal="center" vertical="center" wrapText="1"/>
    </xf>
    <xf numFmtId="171" fontId="85" fillId="0" borderId="0" xfId="4" applyNumberFormat="1" applyFont="1" applyFill="1" applyBorder="1" applyAlignment="1" applyProtection="1">
      <alignment horizontal="center" vertical="center" wrapText="1"/>
    </xf>
    <xf numFmtId="193" fontId="85" fillId="0" borderId="0" xfId="4" applyNumberFormat="1" applyFont="1" applyFill="1" applyBorder="1" applyAlignment="1" applyProtection="1">
      <alignment horizontal="center" vertical="center" wrapText="1"/>
    </xf>
    <xf numFmtId="0" fontId="99" fillId="0" borderId="0" xfId="4" applyFont="1" applyAlignment="1">
      <alignment vertical="center"/>
    </xf>
    <xf numFmtId="0" fontId="85" fillId="0" borderId="0" xfId="4" applyFont="1" applyFill="1" applyBorder="1" applyAlignment="1" applyProtection="1">
      <alignment horizontal="left" vertical="center"/>
    </xf>
    <xf numFmtId="18" fontId="85" fillId="0" borderId="0" xfId="4" applyNumberFormat="1" applyFont="1" applyFill="1" applyBorder="1" applyAlignment="1" applyProtection="1">
      <alignment horizontal="left" vertical="center"/>
    </xf>
    <xf numFmtId="0" fontId="101" fillId="0" borderId="0" xfId="4" applyFont="1" applyFill="1" applyBorder="1" applyAlignment="1" applyProtection="1">
      <alignment horizontal="center" vertical="center" wrapText="1"/>
    </xf>
    <xf numFmtId="199" fontId="85" fillId="0" borderId="0" xfId="4" applyNumberFormat="1" applyFont="1" applyFill="1" applyBorder="1" applyAlignment="1" applyProtection="1">
      <alignment horizontal="left" vertical="center"/>
    </xf>
    <xf numFmtId="0" fontId="85" fillId="0" borderId="0" xfId="4" applyFont="1" applyFill="1" applyBorder="1" applyAlignment="1" applyProtection="1">
      <alignment horizontal="center" vertical="center"/>
    </xf>
    <xf numFmtId="171" fontId="85" fillId="0" borderId="0" xfId="4" applyNumberFormat="1" applyFont="1" applyFill="1" applyBorder="1" applyAlignment="1" applyProtection="1">
      <alignment horizontal="center" vertical="center"/>
    </xf>
    <xf numFmtId="193" fontId="85" fillId="0" borderId="0" xfId="4" applyNumberFormat="1" applyFont="1" applyFill="1" applyBorder="1" applyAlignment="1" applyProtection="1">
      <alignment horizontal="center" vertical="center"/>
    </xf>
    <xf numFmtId="193" fontId="87" fillId="6" borderId="31" xfId="4" applyNumberFormat="1" applyFont="1" applyFill="1" applyBorder="1" applyAlignment="1">
      <alignment horizontal="center" vertical="center" wrapText="1"/>
    </xf>
    <xf numFmtId="193" fontId="104" fillId="6" borderId="5" xfId="4" applyNumberFormat="1" applyFont="1" applyFill="1" applyBorder="1" applyAlignment="1">
      <alignment horizontal="center" vertical="center" wrapText="1"/>
    </xf>
    <xf numFmtId="193" fontId="103" fillId="6" borderId="22" xfId="4" applyNumberFormat="1" applyFont="1" applyFill="1" applyBorder="1" applyAlignment="1">
      <alignment horizontal="center" vertical="center"/>
    </xf>
    <xf numFmtId="0" fontId="85" fillId="0" borderId="32" xfId="4" applyFont="1" applyBorder="1" applyAlignment="1">
      <alignment horizontal="center" vertical="center" wrapText="1"/>
    </xf>
    <xf numFmtId="0" fontId="100" fillId="7" borderId="11" xfId="4" applyFont="1" applyFill="1" applyBorder="1" applyAlignment="1" applyProtection="1">
      <alignment horizontal="center" vertical="center"/>
      <protection locked="0"/>
    </xf>
    <xf numFmtId="0" fontId="100" fillId="0" borderId="12" xfId="4" applyNumberFormat="1" applyFont="1" applyBorder="1" applyAlignment="1" applyProtection="1">
      <alignment horizontal="right" vertical="center"/>
      <protection locked="0"/>
    </xf>
    <xf numFmtId="0" fontId="85" fillId="0" borderId="12" xfId="4" applyFont="1" applyBorder="1" applyAlignment="1">
      <alignment horizontal="right" vertical="center"/>
    </xf>
    <xf numFmtId="171" fontId="100" fillId="6" borderId="5" xfId="4" applyNumberFormat="1" applyFont="1" applyFill="1" applyBorder="1" applyAlignment="1">
      <alignment horizontal="center" vertical="center" wrapText="1"/>
    </xf>
    <xf numFmtId="171" fontId="100" fillId="6" borderId="5" xfId="4" applyNumberFormat="1" applyFont="1" applyFill="1" applyBorder="1" applyAlignment="1">
      <alignment horizontal="center" vertical="center"/>
    </xf>
    <xf numFmtId="0" fontId="102" fillId="0" borderId="0" xfId="4" applyFont="1" applyAlignment="1">
      <alignment vertical="center"/>
    </xf>
    <xf numFmtId="0" fontId="51" fillId="3" borderId="10" xfId="0" applyFont="1" applyFill="1" applyBorder="1" applyAlignment="1">
      <alignment vertical="center" wrapText="1"/>
    </xf>
    <xf numFmtId="0" fontId="51" fillId="3" borderId="11" xfId="0" applyFont="1" applyFill="1" applyBorder="1" applyAlignment="1">
      <alignment vertical="center" wrapText="1"/>
    </xf>
    <xf numFmtId="169" fontId="50" fillId="0" borderId="0" xfId="2" applyNumberFormat="1" applyFont="1" applyFill="1" applyBorder="1" applyAlignment="1">
      <alignment horizontal="center" vertical="center"/>
    </xf>
    <xf numFmtId="164" fontId="50" fillId="0" borderId="0" xfId="2" applyNumberFormat="1" applyFont="1" applyAlignment="1">
      <alignment horizontal="center" vertical="center" wrapText="1"/>
    </xf>
    <xf numFmtId="0" fontId="51" fillId="3" borderId="33" xfId="0"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Border="1" applyAlignment="1">
      <alignment horizontal="left" vertical="center"/>
    </xf>
    <xf numFmtId="0" fontId="71" fillId="0" borderId="0" xfId="0" applyFont="1" applyAlignment="1">
      <alignment horizontal="left" vertical="center"/>
    </xf>
    <xf numFmtId="0" fontId="50" fillId="0" borderId="0" xfId="0" applyFont="1" applyFill="1" applyAlignment="1">
      <alignment horizontal="right"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Border="1" applyAlignment="1">
      <alignment horizontal="left" vertical="center"/>
    </xf>
    <xf numFmtId="0" fontId="42" fillId="0" borderId="0" xfId="3"/>
    <xf numFmtId="9" fontId="50" fillId="0" borderId="0" xfId="2" applyFont="1" applyFill="1" applyAlignment="1">
      <alignment vertical="center"/>
    </xf>
    <xf numFmtId="0" fontId="50" fillId="0" borderId="0" xfId="0" applyFont="1" applyAlignment="1">
      <alignment horizontal="left" vertical="center"/>
    </xf>
    <xf numFmtId="0" fontId="56" fillId="0" borderId="0" xfId="3" applyFont="1" applyAlignment="1">
      <alignment horizontal="left" vertical="center"/>
    </xf>
    <xf numFmtId="187" fontId="51" fillId="2" borderId="5" xfId="0" applyNumberFormat="1" applyFont="1" applyFill="1" applyBorder="1" applyAlignment="1">
      <alignment horizontal="center" vertical="center"/>
    </xf>
    <xf numFmtId="0" fontId="106" fillId="0" borderId="0" xfId="3" applyFont="1" applyAlignment="1">
      <alignment vertical="center"/>
    </xf>
    <xf numFmtId="0" fontId="64" fillId="0" borderId="0" xfId="0" applyFont="1" applyAlignment="1">
      <alignment horizontal="center" vertical="center"/>
    </xf>
    <xf numFmtId="181" fontId="64" fillId="0" borderId="0" xfId="0" applyNumberFormat="1" applyFont="1" applyAlignment="1">
      <alignment horizontal="center" vertical="center"/>
    </xf>
    <xf numFmtId="14" fontId="50" fillId="0" borderId="0" xfId="0" applyNumberFormat="1" applyFont="1" applyBorder="1" applyAlignment="1">
      <alignment horizontal="center" vertical="center"/>
    </xf>
    <xf numFmtId="0" fontId="56" fillId="0" borderId="0" xfId="3" applyFont="1"/>
    <xf numFmtId="0" fontId="54" fillId="0" borderId="0" xfId="3" applyFont="1" applyAlignment="1">
      <alignment horizontal="left" vertical="center"/>
    </xf>
    <xf numFmtId="198" fontId="50" fillId="2" borderId="1" xfId="2" applyNumberFormat="1" applyFont="1" applyFill="1" applyBorder="1" applyAlignment="1">
      <alignment horizontal="center" vertical="center"/>
    </xf>
    <xf numFmtId="0" fontId="0" fillId="0" borderId="0" xfId="0" applyFont="1" applyAlignment="1">
      <alignment horizontal="center" vertical="center" wrapText="1"/>
    </xf>
    <xf numFmtId="14" fontId="37" fillId="0" borderId="0" xfId="0" applyNumberFormat="1" applyFont="1" applyAlignment="1">
      <alignment horizontal="left" vertical="center" wrapText="1"/>
    </xf>
    <xf numFmtId="0" fontId="0" fillId="0" borderId="0" xfId="0" applyAlignment="1">
      <alignment horizontal="left" vertical="center" wrapText="1"/>
    </xf>
    <xf numFmtId="0" fontId="31" fillId="0" borderId="0" xfId="0" applyFont="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left" vertical="center" wrapText="1"/>
    </xf>
    <xf numFmtId="0" fontId="25" fillId="0" borderId="0" xfId="0" applyFont="1" applyAlignment="1">
      <alignment horizontal="left" vertical="center" wrapText="1"/>
    </xf>
    <xf numFmtId="0" fontId="21" fillId="0" borderId="0" xfId="0" applyFont="1" applyAlignment="1">
      <alignment horizontal="left" vertical="center" wrapText="1"/>
    </xf>
    <xf numFmtId="14" fontId="37" fillId="0" borderId="0" xfId="0" applyNumberFormat="1" applyFont="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1" fillId="0" borderId="8" xfId="0" applyFont="1" applyBorder="1" applyAlignment="1">
      <alignment horizontal="center" vertical="center" wrapText="1"/>
    </xf>
    <xf numFmtId="0" fontId="51" fillId="0" borderId="9" xfId="0" applyFont="1" applyBorder="1" applyAlignment="1">
      <alignment horizontal="center" vertical="center" wrapText="1"/>
    </xf>
    <xf numFmtId="14" fontId="51" fillId="0" borderId="10" xfId="0" applyNumberFormat="1" applyFont="1" applyBorder="1" applyAlignment="1">
      <alignment horizontal="center" vertical="center"/>
    </xf>
    <xf numFmtId="14" fontId="51" fillId="0" borderId="11" xfId="0" applyNumberFormat="1" applyFont="1" applyBorder="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12" xfId="0" applyFont="1" applyBorder="1" applyAlignment="1">
      <alignment horizontal="left" vertical="center" wrapText="1"/>
    </xf>
    <xf numFmtId="0" fontId="51" fillId="3" borderId="10" xfId="0" applyFont="1" applyFill="1" applyBorder="1" applyAlignment="1">
      <alignment horizontal="center" vertical="center" wrapText="1"/>
    </xf>
    <xf numFmtId="0" fontId="51" fillId="3" borderId="11" xfId="0" applyFont="1" applyFill="1" applyBorder="1" applyAlignment="1">
      <alignment horizontal="center" vertical="center" wrapText="1"/>
    </xf>
    <xf numFmtId="0" fontId="50" fillId="0" borderId="0" xfId="0" applyFont="1" applyBorder="1" applyAlignment="1">
      <alignment horizontal="left" vertical="center"/>
    </xf>
  </cellXfs>
  <cellStyles count="5">
    <cellStyle name="Currency" xfId="1" builtinId="4"/>
    <cellStyle name="Hyperlink" xfId="3" builtinId="8"/>
    <cellStyle name="Normal" xfId="0" builtinId="0"/>
    <cellStyle name="Normal 2" xfId="4"/>
    <cellStyle name="Percent" xfId="2" builtinId="5"/>
  </cellStyles>
  <dxfs count="36">
    <dxf>
      <font>
        <color theme="4" tint="0.79998168889431442"/>
      </font>
    </dxf>
    <dxf>
      <font>
        <color theme="0"/>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4" tint="0.79998168889431442"/>
      </font>
    </dxf>
    <dxf>
      <font>
        <color theme="0"/>
      </font>
    </dxf>
    <dxf>
      <font>
        <color theme="4" tint="0.79998168889431442"/>
      </font>
    </dxf>
    <dxf>
      <font>
        <color theme="4" tint="0.79998168889431442"/>
      </font>
    </dxf>
    <dxf>
      <font>
        <color theme="4" tint="0.79998168889431442"/>
      </font>
    </dxf>
    <dxf>
      <font>
        <color theme="0"/>
      </font>
    </dxf>
    <dxf>
      <font>
        <color theme="0"/>
      </font>
    </dxf>
    <dxf>
      <font>
        <color theme="4" tint="0.79998168889431442"/>
      </font>
    </dxf>
    <dxf>
      <font>
        <color theme="4"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612563</xdr:colOff>
      <xdr:row>4</xdr:row>
      <xdr:rowOff>0</xdr:rowOff>
    </xdr:to>
    <xdr:pic>
      <xdr:nvPicPr>
        <xdr:cNvPr id="1025" name="Picture 1" descr="&amp;Acy;&amp;vcy;&amp;acy;&amp;tcy;&amp;acy;&amp;rcy;">
          <a:extLst>
            <a:ext uri="{FF2B5EF4-FFF2-40B4-BE49-F238E27FC236}">
              <a16:creationId xmlns=""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06588" y="246529"/>
          <a:ext cx="612563" cy="739589"/>
        </a:xfrm>
        <a:prstGeom prst="rect">
          <a:avLst/>
        </a:prstGeom>
        <a:noFill/>
      </xdr:spPr>
    </xdr:pic>
    <xdr:clientData/>
  </xdr:twoCellAnchor>
  <xdr:twoCellAnchor editAs="oneCell">
    <xdr:from>
      <xdr:col>4</xdr:col>
      <xdr:colOff>0</xdr:colOff>
      <xdr:row>7</xdr:row>
      <xdr:rowOff>0</xdr:rowOff>
    </xdr:from>
    <xdr:to>
      <xdr:col>4</xdr:col>
      <xdr:colOff>647871</xdr:colOff>
      <xdr:row>10</xdr:row>
      <xdr:rowOff>8771</xdr:rowOff>
    </xdr:to>
    <xdr:pic>
      <xdr:nvPicPr>
        <xdr:cNvPr id="3" name="Picture 2" descr="Capture.JP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rcRect l="23809" t="15771" b="27818"/>
        <a:stretch>
          <a:fillRect/>
        </a:stretch>
      </xdr:blipFill>
      <xdr:spPr>
        <a:xfrm>
          <a:off x="4616824" y="1725706"/>
          <a:ext cx="647871" cy="748359"/>
        </a:xfrm>
        <a:prstGeom prst="rect">
          <a:avLst/>
        </a:prstGeom>
      </xdr:spPr>
    </xdr:pic>
    <xdr:clientData/>
  </xdr:twoCellAnchor>
  <xdr:twoCellAnchor editAs="oneCell">
    <xdr:from>
      <xdr:col>4</xdr:col>
      <xdr:colOff>0</xdr:colOff>
      <xdr:row>64</xdr:row>
      <xdr:rowOff>0</xdr:rowOff>
    </xdr:from>
    <xdr:to>
      <xdr:col>4</xdr:col>
      <xdr:colOff>1043608</xdr:colOff>
      <xdr:row>67</xdr:row>
      <xdr:rowOff>207862</xdr:rowOff>
    </xdr:to>
    <xdr:pic>
      <xdr:nvPicPr>
        <xdr:cNvPr id="4" name="Picture 3" descr="Martin Marchev.jp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a:srcRect l="55877" t="14878" r="9737" b="53712"/>
        <a:stretch>
          <a:fillRect/>
        </a:stretch>
      </xdr:blipFill>
      <xdr:spPr>
        <a:xfrm>
          <a:off x="4807324" y="14791765"/>
          <a:ext cx="1043608" cy="947451"/>
        </a:xfrm>
        <a:prstGeom prst="rect">
          <a:avLst/>
        </a:prstGeom>
      </xdr:spPr>
    </xdr:pic>
    <xdr:clientData/>
  </xdr:twoCellAnchor>
  <xdr:twoCellAnchor editAs="oneCell">
    <xdr:from>
      <xdr:col>4</xdr:col>
      <xdr:colOff>0</xdr:colOff>
      <xdr:row>29</xdr:row>
      <xdr:rowOff>0</xdr:rowOff>
    </xdr:from>
    <xdr:to>
      <xdr:col>4</xdr:col>
      <xdr:colOff>1028700</xdr:colOff>
      <xdr:row>32</xdr:row>
      <xdr:rowOff>213224</xdr:rowOff>
    </xdr:to>
    <xdr:pic>
      <xdr:nvPicPr>
        <xdr:cNvPr id="5" name="Picture 4" descr="13047665_1036373513076937_8700345147424743499_o.jpg">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4"/>
        <a:srcRect l="831" t="19886" r="81090" b="54866"/>
        <a:stretch>
          <a:fillRect/>
        </a:stretch>
      </xdr:blipFill>
      <xdr:spPr>
        <a:xfrm>
          <a:off x="4619625" y="7429500"/>
          <a:ext cx="1028700" cy="956174"/>
        </a:xfrm>
        <a:prstGeom prst="rect">
          <a:avLst/>
        </a:prstGeom>
      </xdr:spPr>
    </xdr:pic>
    <xdr:clientData/>
  </xdr:twoCellAnchor>
  <xdr:twoCellAnchor editAs="oneCell">
    <xdr:from>
      <xdr:col>4</xdr:col>
      <xdr:colOff>0</xdr:colOff>
      <xdr:row>17</xdr:row>
      <xdr:rowOff>0</xdr:rowOff>
    </xdr:from>
    <xdr:to>
      <xdr:col>4</xdr:col>
      <xdr:colOff>907676</xdr:colOff>
      <xdr:row>20</xdr:row>
      <xdr:rowOff>175599</xdr:rowOff>
    </xdr:to>
    <xdr:pic>
      <xdr:nvPicPr>
        <xdr:cNvPr id="6" name="Picture 5" descr="13047665_1036373513076937_8700345147424743499_o.jpg">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4"/>
        <a:srcRect l="17951" t="17577" r="58437" b="46413"/>
        <a:stretch>
          <a:fillRect/>
        </a:stretch>
      </xdr:blipFill>
      <xdr:spPr>
        <a:xfrm>
          <a:off x="4616824" y="4191000"/>
          <a:ext cx="907676" cy="915187"/>
        </a:xfrm>
        <a:prstGeom prst="rect">
          <a:avLst/>
        </a:prstGeom>
      </xdr:spPr>
    </xdr:pic>
    <xdr:clientData/>
  </xdr:twoCellAnchor>
  <xdr:twoCellAnchor editAs="oneCell">
    <xdr:from>
      <xdr:col>4</xdr:col>
      <xdr:colOff>0</xdr:colOff>
      <xdr:row>12</xdr:row>
      <xdr:rowOff>0</xdr:rowOff>
    </xdr:from>
    <xdr:to>
      <xdr:col>4</xdr:col>
      <xdr:colOff>924995</xdr:colOff>
      <xdr:row>15</xdr:row>
      <xdr:rowOff>177738</xdr:rowOff>
    </xdr:to>
    <xdr:pic>
      <xdr:nvPicPr>
        <xdr:cNvPr id="7" name="Picture 6" descr="13047665_1036373513076937_8700345147424743499_o.jpg">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4"/>
        <a:srcRect l="36276" t="9967" r="36620" b="49426"/>
        <a:stretch>
          <a:fillRect/>
        </a:stretch>
      </xdr:blipFill>
      <xdr:spPr>
        <a:xfrm>
          <a:off x="4616824" y="2958353"/>
          <a:ext cx="924995" cy="917326"/>
        </a:xfrm>
        <a:prstGeom prst="rect">
          <a:avLst/>
        </a:prstGeom>
      </xdr:spPr>
    </xdr:pic>
    <xdr:clientData/>
  </xdr:twoCellAnchor>
  <xdr:twoCellAnchor editAs="oneCell">
    <xdr:from>
      <xdr:col>3</xdr:col>
      <xdr:colOff>0</xdr:colOff>
      <xdr:row>12</xdr:row>
      <xdr:rowOff>0</xdr:rowOff>
    </xdr:from>
    <xdr:to>
      <xdr:col>3</xdr:col>
      <xdr:colOff>829235</xdr:colOff>
      <xdr:row>15</xdr:row>
      <xdr:rowOff>70037</xdr:rowOff>
    </xdr:to>
    <xdr:pic>
      <xdr:nvPicPr>
        <xdr:cNvPr id="8" name="Picture 7" descr="773.jpg">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5"/>
        <a:srcRect l="14576" r="8381"/>
        <a:stretch>
          <a:fillRect/>
        </a:stretch>
      </xdr:blipFill>
      <xdr:spPr>
        <a:xfrm>
          <a:off x="3406588" y="2958353"/>
          <a:ext cx="829235" cy="809625"/>
        </a:xfrm>
        <a:prstGeom prst="rect">
          <a:avLst/>
        </a:prstGeom>
      </xdr:spPr>
    </xdr:pic>
    <xdr:clientData/>
  </xdr:twoCellAnchor>
  <xdr:twoCellAnchor editAs="oneCell">
    <xdr:from>
      <xdr:col>3</xdr:col>
      <xdr:colOff>1197711</xdr:colOff>
      <xdr:row>1</xdr:row>
      <xdr:rowOff>0</xdr:rowOff>
    </xdr:from>
    <xdr:to>
      <xdr:col>4</xdr:col>
      <xdr:colOff>930088</xdr:colOff>
      <xdr:row>4</xdr:row>
      <xdr:rowOff>176092</xdr:rowOff>
    </xdr:to>
    <xdr:pic>
      <xdr:nvPicPr>
        <xdr:cNvPr id="9" name="Picture 8" descr="Todor.jpg">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6" cstate="print"/>
        <a:srcRect l="38893" t="45187" r="4624" b="-56"/>
        <a:stretch>
          <a:fillRect/>
        </a:stretch>
      </xdr:blipFill>
      <xdr:spPr>
        <a:xfrm>
          <a:off x="4604299" y="246529"/>
          <a:ext cx="942613" cy="915681"/>
        </a:xfrm>
        <a:prstGeom prst="rect">
          <a:avLst/>
        </a:prstGeom>
      </xdr:spPr>
    </xdr:pic>
    <xdr:clientData/>
  </xdr:twoCellAnchor>
  <xdr:twoCellAnchor editAs="oneCell">
    <xdr:from>
      <xdr:col>4</xdr:col>
      <xdr:colOff>0</xdr:colOff>
      <xdr:row>22</xdr:row>
      <xdr:rowOff>1</xdr:rowOff>
    </xdr:from>
    <xdr:to>
      <xdr:col>4</xdr:col>
      <xdr:colOff>1030941</xdr:colOff>
      <xdr:row>26</xdr:row>
      <xdr:rowOff>173467</xdr:rowOff>
    </xdr:to>
    <xdr:pic>
      <xdr:nvPicPr>
        <xdr:cNvPr id="10" name="Picture 9" descr="1385601_211115289063774_2068604498_n.jpg">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7"/>
        <a:srcRect l="12449" t="20327" r="15966"/>
        <a:stretch>
          <a:fillRect/>
        </a:stretch>
      </xdr:blipFill>
      <xdr:spPr>
        <a:xfrm>
          <a:off x="4616824" y="5423648"/>
          <a:ext cx="1030941" cy="1159584"/>
        </a:xfrm>
        <a:prstGeom prst="rect">
          <a:avLst/>
        </a:prstGeom>
      </xdr:spPr>
    </xdr:pic>
    <xdr:clientData/>
  </xdr:twoCellAnchor>
  <xdr:twoCellAnchor editAs="oneCell">
    <xdr:from>
      <xdr:col>4</xdr:col>
      <xdr:colOff>0</xdr:colOff>
      <xdr:row>57</xdr:row>
      <xdr:rowOff>0</xdr:rowOff>
    </xdr:from>
    <xdr:to>
      <xdr:col>4</xdr:col>
      <xdr:colOff>1030941</xdr:colOff>
      <xdr:row>61</xdr:row>
      <xdr:rowOff>44824</xdr:rowOff>
    </xdr:to>
    <xdr:pic>
      <xdr:nvPicPr>
        <xdr:cNvPr id="11" name="Picture 10" descr="15283973_10210119195915138_2483955296081415934_n.jpg">
          <a:extLst>
            <a:ext uri="{FF2B5EF4-FFF2-40B4-BE49-F238E27FC236}">
              <a16:creationId xmlns="" xmlns:a16="http://schemas.microsoft.com/office/drawing/2014/main" id="{00000000-0008-0000-0300-00000B000000}"/>
            </a:ext>
          </a:extLst>
        </xdr:cNvPr>
        <xdr:cNvPicPr>
          <a:picLocks noChangeAspect="1"/>
        </xdr:cNvPicPr>
      </xdr:nvPicPr>
      <xdr:blipFill>
        <a:blip xmlns:r="http://schemas.openxmlformats.org/officeDocument/2006/relationships" r:embed="rId8" cstate="print"/>
        <a:stretch>
          <a:fillRect/>
        </a:stretch>
      </xdr:blipFill>
      <xdr:spPr>
        <a:xfrm>
          <a:off x="4616824" y="8875059"/>
          <a:ext cx="1030941" cy="1030941"/>
        </a:xfrm>
        <a:prstGeom prst="rect">
          <a:avLst/>
        </a:prstGeom>
      </xdr:spPr>
    </xdr:pic>
    <xdr:clientData/>
  </xdr:twoCellAnchor>
  <xdr:twoCellAnchor editAs="oneCell">
    <xdr:from>
      <xdr:col>3</xdr:col>
      <xdr:colOff>0</xdr:colOff>
      <xdr:row>29</xdr:row>
      <xdr:rowOff>0</xdr:rowOff>
    </xdr:from>
    <xdr:to>
      <xdr:col>3</xdr:col>
      <xdr:colOff>930088</xdr:colOff>
      <xdr:row>32</xdr:row>
      <xdr:rowOff>190499</xdr:rowOff>
    </xdr:to>
    <xdr:pic>
      <xdr:nvPicPr>
        <xdr:cNvPr id="12" name="Picture 11" descr="12038164_10207115920203832_7203552381593104889_n.jpg">
          <a:extLst>
            <a:ext uri="{FF2B5EF4-FFF2-40B4-BE49-F238E27FC236}">
              <a16:creationId xmlns="" xmlns:a16="http://schemas.microsoft.com/office/drawing/2014/main" id="{00000000-0008-0000-0300-00000C000000}"/>
            </a:ext>
          </a:extLst>
        </xdr:cNvPr>
        <xdr:cNvPicPr>
          <a:picLocks noChangeAspect="1"/>
        </xdr:cNvPicPr>
      </xdr:nvPicPr>
      <xdr:blipFill>
        <a:blip xmlns:r="http://schemas.openxmlformats.org/officeDocument/2006/relationships" r:embed="rId9"/>
        <a:stretch>
          <a:fillRect/>
        </a:stretch>
      </xdr:blipFill>
      <xdr:spPr>
        <a:xfrm>
          <a:off x="3406588" y="7395882"/>
          <a:ext cx="930088" cy="930088"/>
        </a:xfrm>
        <a:prstGeom prst="rect">
          <a:avLst/>
        </a:prstGeom>
      </xdr:spPr>
    </xdr:pic>
    <xdr:clientData/>
  </xdr:twoCellAnchor>
  <xdr:twoCellAnchor editAs="oneCell">
    <xdr:from>
      <xdr:col>4</xdr:col>
      <xdr:colOff>0</xdr:colOff>
      <xdr:row>35</xdr:row>
      <xdr:rowOff>0</xdr:rowOff>
    </xdr:from>
    <xdr:to>
      <xdr:col>4</xdr:col>
      <xdr:colOff>754200</xdr:colOff>
      <xdr:row>38</xdr:row>
      <xdr:rowOff>200025</xdr:rowOff>
    </xdr:to>
    <xdr:pic>
      <xdr:nvPicPr>
        <xdr:cNvPr id="14" name="Picture 13" descr="14570587_10210810812814948_2501002877600942561_o.jpg">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10" cstate="print"/>
        <a:srcRect l="47625" t="3528" b="9160"/>
        <a:stretch>
          <a:fillRect/>
        </a:stretch>
      </xdr:blipFill>
      <xdr:spPr>
        <a:xfrm>
          <a:off x="4619625" y="8667750"/>
          <a:ext cx="754200" cy="942975"/>
        </a:xfrm>
        <a:prstGeom prst="rect">
          <a:avLst/>
        </a:prstGeom>
      </xdr:spPr>
    </xdr:pic>
    <xdr:clientData/>
  </xdr:twoCellAnchor>
  <xdr:twoCellAnchor editAs="oneCell">
    <xdr:from>
      <xdr:col>3</xdr:col>
      <xdr:colOff>0</xdr:colOff>
      <xdr:row>35</xdr:row>
      <xdr:rowOff>0</xdr:rowOff>
    </xdr:from>
    <xdr:to>
      <xdr:col>3</xdr:col>
      <xdr:colOff>900000</xdr:colOff>
      <xdr:row>38</xdr:row>
      <xdr:rowOff>157050</xdr:rowOff>
    </xdr:to>
    <xdr:pic>
      <xdr:nvPicPr>
        <xdr:cNvPr id="15" name="Picture 14" descr="11390147_10206996289774256_7086810805767110955_n.jpg">
          <a:extLst>
            <a:ext uri="{FF2B5EF4-FFF2-40B4-BE49-F238E27FC236}">
              <a16:creationId xmlns="" xmlns:a16="http://schemas.microsoft.com/office/drawing/2014/main" id="{00000000-0008-0000-0300-00000F000000}"/>
            </a:ext>
          </a:extLst>
        </xdr:cNvPr>
        <xdr:cNvPicPr>
          <a:picLocks noChangeAspect="1"/>
        </xdr:cNvPicPr>
      </xdr:nvPicPr>
      <xdr:blipFill>
        <a:blip xmlns:r="http://schemas.openxmlformats.org/officeDocument/2006/relationships" r:embed="rId11" cstate="print"/>
        <a:stretch>
          <a:fillRect/>
        </a:stretch>
      </xdr:blipFill>
      <xdr:spPr>
        <a:xfrm>
          <a:off x="3409950" y="8667750"/>
          <a:ext cx="900000" cy="900000"/>
        </a:xfrm>
        <a:prstGeom prst="rect">
          <a:avLst/>
        </a:prstGeom>
      </xdr:spPr>
    </xdr:pic>
    <xdr:clientData/>
  </xdr:twoCellAnchor>
  <xdr:twoCellAnchor editAs="oneCell">
    <xdr:from>
      <xdr:col>3</xdr:col>
      <xdr:colOff>0</xdr:colOff>
      <xdr:row>40</xdr:row>
      <xdr:rowOff>0</xdr:rowOff>
    </xdr:from>
    <xdr:to>
      <xdr:col>3</xdr:col>
      <xdr:colOff>900000</xdr:colOff>
      <xdr:row>43</xdr:row>
      <xdr:rowOff>157050</xdr:rowOff>
    </xdr:to>
    <xdr:pic>
      <xdr:nvPicPr>
        <xdr:cNvPr id="16" name="Picture 15" descr="1795766_961519123888309_6198541681527823243_n.jpg">
          <a:extLst>
            <a:ext uri="{FF2B5EF4-FFF2-40B4-BE49-F238E27FC236}">
              <a16:creationId xmlns="" xmlns:a16="http://schemas.microsoft.com/office/drawing/2014/main" id="{00000000-0008-0000-0300-000010000000}"/>
            </a:ext>
          </a:extLst>
        </xdr:cNvPr>
        <xdr:cNvPicPr>
          <a:picLocks noChangeAspect="1"/>
        </xdr:cNvPicPr>
      </xdr:nvPicPr>
      <xdr:blipFill>
        <a:blip xmlns:r="http://schemas.openxmlformats.org/officeDocument/2006/relationships" r:embed="rId12" cstate="print"/>
        <a:stretch>
          <a:fillRect/>
        </a:stretch>
      </xdr:blipFill>
      <xdr:spPr>
        <a:xfrm>
          <a:off x="3600450" y="9906000"/>
          <a:ext cx="900000" cy="900000"/>
        </a:xfrm>
        <a:prstGeom prst="rect">
          <a:avLst/>
        </a:prstGeom>
      </xdr:spPr>
    </xdr:pic>
    <xdr:clientData/>
  </xdr:twoCellAnchor>
  <xdr:twoCellAnchor editAs="oneCell">
    <xdr:from>
      <xdr:col>4</xdr:col>
      <xdr:colOff>0</xdr:colOff>
      <xdr:row>40</xdr:row>
      <xdr:rowOff>0</xdr:rowOff>
    </xdr:from>
    <xdr:to>
      <xdr:col>4</xdr:col>
      <xdr:colOff>794657</xdr:colOff>
      <xdr:row>44</xdr:row>
      <xdr:rowOff>54428</xdr:rowOff>
    </xdr:to>
    <xdr:pic>
      <xdr:nvPicPr>
        <xdr:cNvPr id="17" name="Picture 16" descr="10711049_848903251816564_1998622817064033291_n.jpg">
          <a:extLst>
            <a:ext uri="{FF2B5EF4-FFF2-40B4-BE49-F238E27FC236}">
              <a16:creationId xmlns="" xmlns:a16="http://schemas.microsoft.com/office/drawing/2014/main" id="{00000000-0008-0000-0300-000011000000}"/>
            </a:ext>
          </a:extLst>
        </xdr:cNvPr>
        <xdr:cNvPicPr>
          <a:picLocks noChangeAspect="1"/>
        </xdr:cNvPicPr>
      </xdr:nvPicPr>
      <xdr:blipFill>
        <a:blip xmlns:r="http://schemas.openxmlformats.org/officeDocument/2006/relationships" r:embed="rId13" cstate="print"/>
        <a:srcRect l="6173" t="37965" r="40815" b="16951"/>
        <a:stretch>
          <a:fillRect/>
        </a:stretch>
      </xdr:blipFill>
      <xdr:spPr>
        <a:xfrm>
          <a:off x="4811486" y="10014857"/>
          <a:ext cx="794657" cy="1055914"/>
        </a:xfrm>
        <a:prstGeom prst="rect">
          <a:avLst/>
        </a:prstGeom>
      </xdr:spPr>
    </xdr:pic>
    <xdr:clientData/>
  </xdr:twoCellAnchor>
  <xdr:twoCellAnchor editAs="oneCell">
    <xdr:from>
      <xdr:col>3</xdr:col>
      <xdr:colOff>0</xdr:colOff>
      <xdr:row>46</xdr:row>
      <xdr:rowOff>0</xdr:rowOff>
    </xdr:from>
    <xdr:to>
      <xdr:col>3</xdr:col>
      <xdr:colOff>694765</xdr:colOff>
      <xdr:row>48</xdr:row>
      <xdr:rowOff>201706</xdr:rowOff>
    </xdr:to>
    <xdr:pic>
      <xdr:nvPicPr>
        <xdr:cNvPr id="18" name="Picture 17" descr="632.png">
          <a:extLst>
            <a:ext uri="{FF2B5EF4-FFF2-40B4-BE49-F238E27FC236}">
              <a16:creationId xmlns="" xmlns:a16="http://schemas.microsoft.com/office/drawing/2014/main" id="{00000000-0008-0000-0300-000012000000}"/>
            </a:ext>
          </a:extLst>
        </xdr:cNvPr>
        <xdr:cNvPicPr>
          <a:picLocks noChangeAspect="1"/>
        </xdr:cNvPicPr>
      </xdr:nvPicPr>
      <xdr:blipFill>
        <a:blip xmlns:r="http://schemas.openxmlformats.org/officeDocument/2006/relationships" r:embed="rId14"/>
        <a:stretch>
          <a:fillRect/>
        </a:stretch>
      </xdr:blipFill>
      <xdr:spPr>
        <a:xfrm>
          <a:off x="3597088" y="11340353"/>
          <a:ext cx="694765" cy="694765"/>
        </a:xfrm>
        <a:prstGeom prst="rect">
          <a:avLst/>
        </a:prstGeom>
      </xdr:spPr>
    </xdr:pic>
    <xdr:clientData/>
  </xdr:twoCellAnchor>
  <xdr:twoCellAnchor editAs="oneCell">
    <xdr:from>
      <xdr:col>3</xdr:col>
      <xdr:colOff>0</xdr:colOff>
      <xdr:row>51</xdr:row>
      <xdr:rowOff>0</xdr:rowOff>
    </xdr:from>
    <xdr:to>
      <xdr:col>3</xdr:col>
      <xdr:colOff>974351</xdr:colOff>
      <xdr:row>55</xdr:row>
      <xdr:rowOff>67235</xdr:rowOff>
    </xdr:to>
    <xdr:pic>
      <xdr:nvPicPr>
        <xdr:cNvPr id="19" name="Picture 18" descr="DSC06814_1.JPG">
          <a:extLst>
            <a:ext uri="{FF2B5EF4-FFF2-40B4-BE49-F238E27FC236}">
              <a16:creationId xmlns="" xmlns:a16="http://schemas.microsoft.com/office/drawing/2014/main" id="{00000000-0008-0000-0300-000013000000}"/>
            </a:ext>
          </a:extLst>
        </xdr:cNvPr>
        <xdr:cNvPicPr>
          <a:picLocks noChangeAspect="1"/>
        </xdr:cNvPicPr>
      </xdr:nvPicPr>
      <xdr:blipFill>
        <a:blip xmlns:r="http://schemas.openxmlformats.org/officeDocument/2006/relationships" r:embed="rId15" cstate="print"/>
        <a:srcRect l="28132" t="22327" r="53501" b="42419"/>
        <a:stretch>
          <a:fillRect/>
        </a:stretch>
      </xdr:blipFill>
      <xdr:spPr>
        <a:xfrm>
          <a:off x="3597088" y="12573000"/>
          <a:ext cx="974351" cy="1053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beer-bg.com/index.php?main_page=product_info&amp;cPath=1_58_63&amp;products_id=3" TargetMode="Externa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58_59&amp;products_id=176" TargetMode="External"/><Relationship Id="rId2" Type="http://schemas.openxmlformats.org/officeDocument/2006/relationships/hyperlink" Target="http://www.brewersfriend.com/ibu-calculator/" TargetMode="Externa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42_45&amp;products_id=111" TargetMode="External"/><Relationship Id="rId11" Type="http://schemas.openxmlformats.org/officeDocument/2006/relationships/printerSettings" Target="../printerSettings/printerSettings8.bin"/><Relationship Id="rId5" Type="http://schemas.openxmlformats.org/officeDocument/2006/relationships/hyperlink" Target="http://homedistiller.org/wash/ferment/howmuch" TargetMode="External"/><Relationship Id="rId10" Type="http://schemas.openxmlformats.org/officeDocument/2006/relationships/hyperlink" Target="http://forum.beer-bg.com/viewtopic.php?f=25&amp;t=2784"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73_76&amp;products_id=1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rewersfriend.com/mash/" TargetMode="Externa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73_77&amp;products_id=5" TargetMode="External"/><Relationship Id="rId12" Type="http://schemas.openxmlformats.org/officeDocument/2006/relationships/printerSettings" Target="../printerSettings/printerSettings9.bin"/><Relationship Id="rId2" Type="http://schemas.openxmlformats.org/officeDocument/2006/relationships/hyperlink" Target="http://www.brewersfriend.com/ibu-calculator/" TargetMode="Externa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58_59&amp;products_id=176" TargetMode="External"/><Relationship Id="rId11" Type="http://schemas.openxmlformats.org/officeDocument/2006/relationships/hyperlink" Target="http://beer-bg.com/index.php?main_page=product_info&amp;cPath=1_42_43&amp;products_id=13" TargetMode="External"/><Relationship Id="rId5" Type="http://schemas.openxmlformats.org/officeDocument/2006/relationships/hyperlink" Target="http://beer-bg.com/index.php?main_page=product_info&amp;cPath=1_73_76&amp;products_id=17" TargetMode="External"/><Relationship Id="rId10" Type="http://schemas.openxmlformats.org/officeDocument/2006/relationships/hyperlink" Target="http://beer-bg.com/index.php?main_page=product_info&amp;cPath=1_58_61&amp;products_id=4"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73_77&amp;products_id=5"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beer-bg.com/index.php?main_page=product_info&amp;cPath=1_58_61&amp;products_id=127" TargetMode="External"/><Relationship Id="rId13" Type="http://schemas.openxmlformats.org/officeDocument/2006/relationships/hyperlink" Target="http://beer-bg.com/index.php?main_page=product_info&amp;cPath=1_42_43&amp;products_id=13" TargetMode="Externa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forum.beer-bg.com/viewtopic.php?f=3&amp;t=2538&amp;hilit=%D1%80%D0%B0%D1%83%D1%85" TargetMode="External"/><Relationship Id="rId12" Type="http://schemas.openxmlformats.org/officeDocument/2006/relationships/hyperlink" Target="http://beer-bg.com/index.php?main_page=product_info&amp;cPath=1_58_61&amp;products_id=53" TargetMode="External"/><Relationship Id="rId2" Type="http://schemas.openxmlformats.org/officeDocument/2006/relationships/hyperlink" Target="http://www.brewersfriend.com/ibu-calculator/" TargetMode="Externa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73_77&amp;products_id=5" TargetMode="External"/><Relationship Id="rId11" Type="http://schemas.openxmlformats.org/officeDocument/2006/relationships/hyperlink" Target="http://beer-bg.com/index.php?main_page=product_info&amp;cPath=1_58_64&amp;products_id=100" TargetMode="External"/><Relationship Id="rId5" Type="http://schemas.openxmlformats.org/officeDocument/2006/relationships/hyperlink" Target="http://beer-bg.com/index.php?main_page=product_info&amp;cPath=1_73_76&amp;products_id=17" TargetMode="External"/><Relationship Id="rId15" Type="http://schemas.openxmlformats.org/officeDocument/2006/relationships/printerSettings" Target="../printerSettings/printerSettings10.bin"/><Relationship Id="rId10" Type="http://schemas.openxmlformats.org/officeDocument/2006/relationships/hyperlink" Target="http://beer-bg.com/index.php?main_page=product_info&amp;cPath=1_73_76&amp;products_id=213"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58_61&amp;products_id=4" TargetMode="External"/><Relationship Id="rId14" Type="http://schemas.openxmlformats.org/officeDocument/2006/relationships/hyperlink" Target="http://www.brewersfriend.com/mash/"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beer-bg.com/index.php?main_page=product_info&amp;cPath=1_58_60&amp;products_id=237" TargetMode="External"/><Relationship Id="rId13" Type="http://schemas.openxmlformats.org/officeDocument/2006/relationships/hyperlink" Target="http://beer-bg.com/index.php?main_page=product_info&amp;cPath=38_40&amp;products_id=204" TargetMode="Externa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73_77&amp;products_id=5" TargetMode="External"/><Relationship Id="rId12" Type="http://schemas.openxmlformats.org/officeDocument/2006/relationships/hyperlink" Target="http://beer-bg.com/index.php?main_page=product_info&amp;cPath=1_42_45&amp;products_id=111" TargetMode="External"/><Relationship Id="rId2" Type="http://schemas.openxmlformats.org/officeDocument/2006/relationships/hyperlink" Target="http://www.brewersfriend.com/ibu-calculator/" TargetMode="External"/><Relationship Id="rId16" Type="http://schemas.openxmlformats.org/officeDocument/2006/relationships/printerSettings" Target="../printerSettings/printerSettings11.bin"/><Relationship Id="rId1" Type="http://schemas.openxmlformats.org/officeDocument/2006/relationships/hyperlink" Target="http://www.brewersfriend.com/srm-calculator/" TargetMode="External"/><Relationship Id="rId6" Type="http://schemas.openxmlformats.org/officeDocument/2006/relationships/hyperlink" Target="http://www.brewersfriend.com/mash/" TargetMode="External"/><Relationship Id="rId11" Type="http://schemas.openxmlformats.org/officeDocument/2006/relationships/hyperlink" Target="http://beer-bg.com/index.php?main_page=product_info&amp;cPath=1_58_61&amp;products_id=4" TargetMode="External"/><Relationship Id="rId5" Type="http://schemas.openxmlformats.org/officeDocument/2006/relationships/hyperlink" Target="http://beer-bg.com/index.php?main_page=product_info&amp;cPath=1_73_76&amp;products_id=17" TargetMode="External"/><Relationship Id="rId15" Type="http://schemas.openxmlformats.org/officeDocument/2006/relationships/hyperlink" Target="http://forum.beer-bg.com/viewtopic.php?f=25&amp;t=3157&amp;hilit=DUNKELWEIZEN&amp;start=10" TargetMode="External"/><Relationship Id="rId10" Type="http://schemas.openxmlformats.org/officeDocument/2006/relationships/hyperlink" Target="http://beer-bg.com/index.php?main_page=product_info&amp;cPath=1_58_62&amp;products_id=14"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58_63&amp;products_id=3" TargetMode="External"/><Relationship Id="rId14" Type="http://schemas.openxmlformats.org/officeDocument/2006/relationships/hyperlink" Target="https://www.youtube.com/watch?v=XL0NUR5tTNE"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beer-bg.com/index.php?main_page=product_info&amp;cPath=1_58_61&amp;products_id=239" TargetMode="External"/><Relationship Id="rId13" Type="http://schemas.openxmlformats.org/officeDocument/2006/relationships/hyperlink" Target="http://beer-bg.com/index.php?main_page=product_info&amp;cPath=1_42_43&amp;products_id=112" TargetMode="External"/><Relationship Id="rId18" Type="http://schemas.openxmlformats.org/officeDocument/2006/relationships/vmlDrawing" Target="../drawings/vmlDrawing1.vm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58_61&amp;products_id=52" TargetMode="External"/><Relationship Id="rId12" Type="http://schemas.openxmlformats.org/officeDocument/2006/relationships/hyperlink" Target="http://beer-bg.com/index.php?main_page=product_info&amp;cPath=1_73_76&amp;products_id=16" TargetMode="External"/><Relationship Id="rId17" Type="http://schemas.openxmlformats.org/officeDocument/2006/relationships/printerSettings" Target="../printerSettings/printerSettings12.bin"/><Relationship Id="rId2" Type="http://schemas.openxmlformats.org/officeDocument/2006/relationships/hyperlink" Target="http://www.brewersfriend.com/ibu-calculator/" TargetMode="External"/><Relationship Id="rId16" Type="http://schemas.openxmlformats.org/officeDocument/2006/relationships/hyperlink" Target="http://forum.beer-bg.com/viewtopic.php?f=17&amp;t=2476&amp;p=3088&amp;hilit=Hefeweizen" TargetMode="Externa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58_59&amp;products_id=176" TargetMode="External"/><Relationship Id="rId11" Type="http://schemas.openxmlformats.org/officeDocument/2006/relationships/hyperlink" Target="http://beer-bg.com/index.php?main_page=product_info&amp;cPath=1_73_77&amp;products_id=5" TargetMode="External"/><Relationship Id="rId5" Type="http://schemas.openxmlformats.org/officeDocument/2006/relationships/hyperlink" Target="http://beer-bg.com/index.php?main_page=product_info&amp;cPath=1_73_77&amp;products_id=5" TargetMode="External"/><Relationship Id="rId15" Type="http://schemas.openxmlformats.org/officeDocument/2006/relationships/hyperlink" Target="http://forum.beer-bg.com/viewtopic.php?f=3&amp;t=3324" TargetMode="External"/><Relationship Id="rId10" Type="http://schemas.openxmlformats.org/officeDocument/2006/relationships/hyperlink" Target="http://beer-bg.com/index.php?main_page=product_info&amp;cPath=1_58_62&amp;products_id=283" TargetMode="External"/><Relationship Id="rId19" Type="http://schemas.openxmlformats.org/officeDocument/2006/relationships/comments" Target="../comments1.xm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58_62&amp;products_id=282" TargetMode="External"/><Relationship Id="rId14" Type="http://schemas.openxmlformats.org/officeDocument/2006/relationships/hyperlink" Target="http://www.brewersfriend.com/mash/"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8" Type="http://schemas.openxmlformats.org/officeDocument/2006/relationships/hyperlink" Target="http://beer-bg.com/index.php?main_page=product_info&amp;cPath=1_58_60&amp;products_id=238" TargetMode="External"/><Relationship Id="rId13" Type="http://schemas.openxmlformats.org/officeDocument/2006/relationships/hyperlink" Target="http://beer-bg.com/index.php?main_page=product_info&amp;cPath=1_73_77&amp;products_id=5" TargetMode="Externa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www.brewersfriend.com/mash/" TargetMode="External"/><Relationship Id="rId12" Type="http://schemas.openxmlformats.org/officeDocument/2006/relationships/hyperlink" Target="http://beer-bg.com/index.php?main_page=product_info&amp;cPath=1_73_76&amp;products_id=17" TargetMode="External"/><Relationship Id="rId2" Type="http://schemas.openxmlformats.org/officeDocument/2006/relationships/hyperlink" Target="http://www.brewersfriend.com/ibu-calculator/" TargetMode="External"/><Relationship Id="rId16" Type="http://schemas.openxmlformats.org/officeDocument/2006/relationships/comments" Target="../comments2.xm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58_59&amp;products_id=176" TargetMode="External"/><Relationship Id="rId11" Type="http://schemas.openxmlformats.org/officeDocument/2006/relationships/hyperlink" Target="http://forum.beer-bg.com/viewtopic.php?f=17&amp;t=3371" TargetMode="External"/><Relationship Id="rId5" Type="http://schemas.openxmlformats.org/officeDocument/2006/relationships/hyperlink" Target="http://beer-bg.com/index.php?main_page=product_info&amp;cPath=1_73_77&amp;products_id=5" TargetMode="External"/><Relationship Id="rId15" Type="http://schemas.openxmlformats.org/officeDocument/2006/relationships/vmlDrawing" Target="../drawings/vmlDrawing2.vml"/><Relationship Id="rId10" Type="http://schemas.openxmlformats.org/officeDocument/2006/relationships/hyperlink" Target="http://forum.beer-bg.com/viewtopic.php?f=71&amp;t=3386"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42_43&amp;products_id=118" TargetMode="External"/><Relationship Id="rId14"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8" Type="http://schemas.openxmlformats.org/officeDocument/2006/relationships/hyperlink" Target="http://beer-bg.com/index.php?main_page=product_info&amp;cPath=1_58_59&amp;products_id=1" TargetMode="External"/><Relationship Id="rId13" Type="http://schemas.openxmlformats.org/officeDocument/2006/relationships/comments" Target="../comments3.xm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58_63&amp;products_id=3" TargetMode="External"/><Relationship Id="rId12" Type="http://schemas.openxmlformats.org/officeDocument/2006/relationships/vmlDrawing" Target="../drawings/vmlDrawing3.vml"/><Relationship Id="rId2" Type="http://schemas.openxmlformats.org/officeDocument/2006/relationships/hyperlink" Target="http://www.brewersfriend.com/ibu-calculator/" TargetMode="External"/><Relationship Id="rId1" Type="http://schemas.openxmlformats.org/officeDocument/2006/relationships/hyperlink" Target="http://www.brewersfriend.com/srm-calculator/" TargetMode="External"/><Relationship Id="rId6" Type="http://schemas.openxmlformats.org/officeDocument/2006/relationships/hyperlink" Target="http://byo.com/body/item/2265-german-hefeweizen-style-profile" TargetMode="External"/><Relationship Id="rId11" Type="http://schemas.openxmlformats.org/officeDocument/2006/relationships/printerSettings" Target="../printerSettings/printerSettings15.bin"/><Relationship Id="rId5" Type="http://schemas.openxmlformats.org/officeDocument/2006/relationships/hyperlink" Target="http://www.brewersfriend.com/mash/" TargetMode="External"/><Relationship Id="rId10" Type="http://schemas.openxmlformats.org/officeDocument/2006/relationships/hyperlink" Target="http://beer-bg.com/index.php?main_page=product_info&amp;cPath=1_73_76&amp;products_id=213"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42_45&amp;products_id=117"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beer-bg.com/index.php?main_page=product_info&amp;cPath=1_73_85&amp;products_id=313" TargetMode="External"/><Relationship Id="rId13" Type="http://schemas.openxmlformats.org/officeDocument/2006/relationships/hyperlink" Target="http://beer-bg.com/index.php?main_page=product_info&amp;cPath=1_42_43&amp;products_id=13" TargetMode="External"/><Relationship Id="rId18" Type="http://schemas.openxmlformats.org/officeDocument/2006/relationships/comments" Target="../comments4.xm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73_77&amp;products_id=5" TargetMode="External"/><Relationship Id="rId12" Type="http://schemas.openxmlformats.org/officeDocument/2006/relationships/hyperlink" Target="http://beer-bg.com/index.php?main_page=product_info&amp;cPath=1_58_62&amp;products_id=233" TargetMode="External"/><Relationship Id="rId17" Type="http://schemas.openxmlformats.org/officeDocument/2006/relationships/vmlDrawing" Target="../drawings/vmlDrawing4.vml"/><Relationship Id="rId2" Type="http://schemas.openxmlformats.org/officeDocument/2006/relationships/hyperlink" Target="http://www.brewersfriend.com/ibu-calculator/" TargetMode="External"/><Relationship Id="rId16" Type="http://schemas.openxmlformats.org/officeDocument/2006/relationships/printerSettings" Target="../printerSettings/printerSettings16.bin"/><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58_61&amp;products_id=52" TargetMode="External"/><Relationship Id="rId11" Type="http://schemas.openxmlformats.org/officeDocument/2006/relationships/hyperlink" Target="http://beer-bg.com/index.php?main_page=product_info&amp;cPath=1_58_61&amp;products_id=127" TargetMode="External"/><Relationship Id="rId5" Type="http://schemas.openxmlformats.org/officeDocument/2006/relationships/hyperlink" Target="http://beer-bg.com/index.php?main_page=product_info&amp;cPath=1_58_59&amp;products_id=176" TargetMode="External"/><Relationship Id="rId15" Type="http://schemas.openxmlformats.org/officeDocument/2006/relationships/hyperlink" Target="http://beer-bg.com/index.php?main_page=product_info&amp;cPath=1_73_77&amp;products_id=5" TargetMode="External"/><Relationship Id="rId10" Type="http://schemas.openxmlformats.org/officeDocument/2006/relationships/hyperlink" Target="http://beer-bg.com/index.php?main_page=product_info&amp;cPath=1_58_61&amp;products_id=53"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www.brewersfriend.com/mash/" TargetMode="External"/><Relationship Id="rId14" Type="http://schemas.openxmlformats.org/officeDocument/2006/relationships/hyperlink" Target="http://forum.beer-bg.com/viewtopic.php?f=71&amp;t=344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bsgcraftbrewing.com/weyermann-cara-wheat-25-kg" TargetMode="External"/><Relationship Id="rId1" Type="http://schemas.openxmlformats.org/officeDocument/2006/relationships/hyperlink" Target="http://forum.beer-bg.com/viewtopic.php?f=24&amp;t=2963&amp;p=7564&amp;hilit=%D0%BA%D0%B8%D1%81%D0%B5%D0%BB%D0%B8%D0%BD%D0%BD%D0%BE%D1%81%D1%8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rewersfriend.com/srm-calculator/"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beer-bg.com/index.php?main_page=product_info&amp;cPath=1_58_61&amp;products_id=127" TargetMode="External"/><Relationship Id="rId2" Type="http://schemas.openxmlformats.org/officeDocument/2006/relationships/hyperlink" Target="http://www.brewersfriend.com/srm-calculator/" TargetMode="External"/><Relationship Id="rId1" Type="http://schemas.openxmlformats.org/officeDocument/2006/relationships/hyperlink" Target="http://forum.beer-bg.com/viewtopic.php?f=3&amp;t=2538&amp;hilit=%D1%80%D0%B0%D1%83%D1%85" TargetMode="External"/><Relationship Id="rId6" Type="http://schemas.openxmlformats.org/officeDocument/2006/relationships/printerSettings" Target="../printerSettings/printerSettings4.bin"/><Relationship Id="rId5" Type="http://schemas.openxmlformats.org/officeDocument/2006/relationships/hyperlink" Target="http://www.brewersfriend.com/ibu-calculator/" TargetMode="External"/><Relationship Id="rId4" Type="http://schemas.openxmlformats.org/officeDocument/2006/relationships/hyperlink" Target="http://beer-bg.com/index.php?main_page=product_info&amp;cPath=1_58_61&amp;products_id=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beer-bg.com/index.php?main_page=product_info&amp;cPath=38_40&amp;products_id=204" TargetMode="External"/><Relationship Id="rId13" Type="http://schemas.openxmlformats.org/officeDocument/2006/relationships/hyperlink" Target="http://beer-bg.com/index.php?main_page=product_info&amp;cPath=1_73_76&amp;products_id=17" TargetMode="External"/><Relationship Id="rId3" Type="http://schemas.openxmlformats.org/officeDocument/2006/relationships/hyperlink" Target="http://www.brewersfriend.com/ibu-calculator/" TargetMode="External"/><Relationship Id="rId7" Type="http://schemas.openxmlformats.org/officeDocument/2006/relationships/hyperlink" Target="http://beer-bg.com/index.php?main_page=product_info&amp;cPath=1_58_59&amp;products_id=94" TargetMode="External"/><Relationship Id="rId12" Type="http://schemas.openxmlformats.org/officeDocument/2006/relationships/hyperlink" Target="http://beer-bg.com/index.php?main_page=product_info&amp;cPath=1_73_77&amp;products_id=5" TargetMode="External"/><Relationship Id="rId2" Type="http://schemas.openxmlformats.org/officeDocument/2006/relationships/hyperlink" Target="http://www.brewersfriend.com/srm-calculator/" TargetMode="External"/><Relationship Id="rId1" Type="http://schemas.openxmlformats.org/officeDocument/2006/relationships/hyperlink" Target="http://beer-bg.com/index.php?main_page=product_info&amp;cPath=1_58_62&amp;products_id=282" TargetMode="External"/><Relationship Id="rId6" Type="http://schemas.openxmlformats.org/officeDocument/2006/relationships/hyperlink" Target="http://beer-bg.com/index.php?main_page=product_info&amp;cPath=2_65_66&amp;products_id=91" TargetMode="External"/><Relationship Id="rId11" Type="http://schemas.openxmlformats.org/officeDocument/2006/relationships/hyperlink" Target="http://beer-bg.com/index.php?main_page=product_info&amp;cPath=1_73_77&amp;products_id=5" TargetMode="External"/><Relationship Id="rId5" Type="http://schemas.openxmlformats.org/officeDocument/2006/relationships/hyperlink" Target="http://beer-bg.com/index.php?main_page=product_info&amp;cPath=1_58_59&amp;products_id=176" TargetMode="External"/><Relationship Id="rId10" Type="http://schemas.openxmlformats.org/officeDocument/2006/relationships/hyperlink" Target="http://www.brewersfriend.com/mash/" TargetMode="External"/><Relationship Id="rId4" Type="http://schemas.openxmlformats.org/officeDocument/2006/relationships/hyperlink" Target="http://beer-bg.com/index.php?main_page=product_info&amp;cPath=1_42_43&amp;products_id=13" TargetMode="External"/><Relationship Id="rId9" Type="http://schemas.openxmlformats.org/officeDocument/2006/relationships/hyperlink" Target="http://beer-bg.com/index.php?main_page=product_info&amp;cPath=1_58_61&amp;products_id=127" TargetMode="External"/><Relationship Id="rId1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hyperlink" Target="http://forum.beer-bg.com/viewtopic.php?f=3&amp;t=2508" TargetMode="External"/><Relationship Id="rId13" Type="http://schemas.openxmlformats.org/officeDocument/2006/relationships/hyperlink" Target="http://beer-bg.com/index.php?main_page=product_info&amp;cPath=1_58_61&amp;products_id=4" TargetMode="External"/><Relationship Id="rId3" Type="http://schemas.openxmlformats.org/officeDocument/2006/relationships/hyperlink" Target="http://beer-bg.com/index.php?main_page=product_info&amp;cPath=1_73_76&amp;products_id=15" TargetMode="External"/><Relationship Id="rId7" Type="http://schemas.openxmlformats.org/officeDocument/2006/relationships/hyperlink" Target="http://www.brewersfriend.com/mash/" TargetMode="External"/><Relationship Id="rId12" Type="http://schemas.openxmlformats.org/officeDocument/2006/relationships/hyperlink" Target="http://beer-bg.com/index.php?main_page=product_info&amp;cPath=1_58_60&amp;products_id=301" TargetMode="External"/><Relationship Id="rId2" Type="http://schemas.openxmlformats.org/officeDocument/2006/relationships/hyperlink" Target="http://www.brewersfriend.com/ibu-calculator/" TargetMode="Externa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38_40&amp;products_id=204" TargetMode="External"/><Relationship Id="rId11" Type="http://schemas.openxmlformats.org/officeDocument/2006/relationships/hyperlink" Target="http://beer-bg.com/index.php?main_page=product_info&amp;cPath=1_58_59&amp;products_id=176" TargetMode="External"/><Relationship Id="rId5" Type="http://schemas.openxmlformats.org/officeDocument/2006/relationships/hyperlink" Target="http://beer-bg.com/index.php?main_page=product_info&amp;cPath=1_58_59&amp;products_id=94" TargetMode="External"/><Relationship Id="rId10" Type="http://schemas.openxmlformats.org/officeDocument/2006/relationships/hyperlink" Target="http://beer-bg.com/index.php?main_page=product_info&amp;cPath=1_42_43&amp;products_id=268" TargetMode="External"/><Relationship Id="rId4" Type="http://schemas.openxmlformats.org/officeDocument/2006/relationships/hyperlink" Target="http://beer-bg.com/index.php?main_page=product_info&amp;cPath=2_65_66&amp;products_id=91" TargetMode="External"/><Relationship Id="rId9" Type="http://schemas.openxmlformats.org/officeDocument/2006/relationships/hyperlink" Target="http://homedistiller.org/wash/ferment/howmuch" TargetMode="External"/><Relationship Id="rId14"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beer-bg.com/index.php?main_page=product_info&amp;cPath=1_58_63&amp;products_id=3" TargetMode="External"/><Relationship Id="rId3" Type="http://schemas.openxmlformats.org/officeDocument/2006/relationships/hyperlink" Target="http://beer-bg.com/index.php?main_page=product_info&amp;cPath=2_65_66&amp;products_id=91" TargetMode="External"/><Relationship Id="rId7" Type="http://schemas.openxmlformats.org/officeDocument/2006/relationships/hyperlink" Target="http://beer-bg.com/index.php?main_page=product_info&amp;cPath=1_58_59&amp;products_id=176" TargetMode="External"/><Relationship Id="rId2" Type="http://schemas.openxmlformats.org/officeDocument/2006/relationships/hyperlink" Target="http://www.brewersfriend.com/ibu-calculator/" TargetMode="External"/><Relationship Id="rId1" Type="http://schemas.openxmlformats.org/officeDocument/2006/relationships/hyperlink" Target="http://www.brewersfriend.com/srm-calculator/" TargetMode="External"/><Relationship Id="rId6" Type="http://schemas.openxmlformats.org/officeDocument/2006/relationships/hyperlink" Target="http://beer-bg.com/index.php?main_page=product_info&amp;cPath=1_42_45&amp;products_id=111" TargetMode="External"/><Relationship Id="rId11" Type="http://schemas.openxmlformats.org/officeDocument/2006/relationships/printerSettings" Target="../printerSettings/printerSettings7.bin"/><Relationship Id="rId5" Type="http://schemas.openxmlformats.org/officeDocument/2006/relationships/hyperlink" Target="http://homedistiller.org/wash/ferment/howmuch" TargetMode="External"/><Relationship Id="rId10" Type="http://schemas.openxmlformats.org/officeDocument/2006/relationships/hyperlink" Target="http://forum.beer-bg.com/viewtopic.php?f=25&amp;t=2784" TargetMode="External"/><Relationship Id="rId4" Type="http://schemas.openxmlformats.org/officeDocument/2006/relationships/hyperlink" Target="http://beer-bg.com/index.php?main_page=product_info&amp;cPath=1_58_59&amp;products_id=94" TargetMode="External"/><Relationship Id="rId9" Type="http://schemas.openxmlformats.org/officeDocument/2006/relationships/hyperlink" Target="http://beer-bg.com/index.php?main_page=product_info&amp;cPath=1_73_76&amp;products_id=17" TargetMode="External"/></Relationships>
</file>

<file path=xl/worksheets/sheet1.xml><?xml version="1.0" encoding="utf-8"?>
<worksheet xmlns="http://schemas.openxmlformats.org/spreadsheetml/2006/main" xmlns:r="http://schemas.openxmlformats.org/officeDocument/2006/relationships">
  <dimension ref="B2:M62"/>
  <sheetViews>
    <sheetView zoomScale="115" zoomScaleNormal="115" workbookViewId="0">
      <selection activeCell="C50" sqref="C50"/>
    </sheetView>
  </sheetViews>
  <sheetFormatPr defaultRowHeight="20.100000000000001" customHeight="1"/>
  <cols>
    <col min="1" max="1" width="44.140625" style="1" customWidth="1"/>
    <col min="2" max="2" width="13.5703125" style="150" customWidth="1"/>
    <col min="3" max="3" width="37.28515625" style="1" customWidth="1"/>
    <col min="4" max="4" width="11.85546875" style="3" customWidth="1"/>
    <col min="5" max="5" width="11.7109375" style="370" customWidth="1"/>
    <col min="6" max="6" width="11.7109375" style="3" customWidth="1"/>
    <col min="7" max="7" width="25.7109375" style="1" customWidth="1"/>
    <col min="8" max="8" width="11.7109375" style="150" customWidth="1"/>
    <col min="9" max="10" width="9.140625" style="1"/>
    <col min="11" max="13" width="9.140625" style="214"/>
    <col min="14" max="16384" width="9.140625" style="1"/>
  </cols>
  <sheetData>
    <row r="2" spans="2:8" ht="20.100000000000001" customHeight="1">
      <c r="C2" s="6" t="s">
        <v>574</v>
      </c>
    </row>
    <row r="3" spans="2:8" ht="69.75" customHeight="1">
      <c r="B3" s="693" t="s">
        <v>575</v>
      </c>
      <c r="C3" s="693"/>
      <c r="D3" s="693"/>
      <c r="E3" s="693"/>
      <c r="F3" s="497"/>
      <c r="G3" s="497"/>
      <c r="H3" s="497"/>
    </row>
    <row r="5" spans="2:8" ht="20.100000000000001" customHeight="1">
      <c r="C5" s="6" t="s">
        <v>22</v>
      </c>
    </row>
    <row r="6" spans="2:8" ht="20.100000000000001" customHeight="1">
      <c r="B6" s="149" t="s">
        <v>144</v>
      </c>
      <c r="C6" s="149"/>
      <c r="D6" s="149"/>
    </row>
    <row r="7" spans="2:8" ht="20.100000000000001" customHeight="1">
      <c r="C7" s="2" t="s">
        <v>2</v>
      </c>
      <c r="D7" s="3">
        <v>7.9</v>
      </c>
    </row>
    <row r="8" spans="2:8" ht="20.100000000000001" customHeight="1">
      <c r="C8" s="2" t="s">
        <v>3</v>
      </c>
      <c r="D8" s="3">
        <v>50.4</v>
      </c>
    </row>
    <row r="9" spans="2:8" ht="20.100000000000001" customHeight="1">
      <c r="C9" s="2" t="s">
        <v>4</v>
      </c>
      <c r="D9" s="3">
        <v>10</v>
      </c>
    </row>
    <row r="10" spans="2:8" ht="20.100000000000001" customHeight="1">
      <c r="C10" s="2" t="s">
        <v>5</v>
      </c>
      <c r="D10" s="3">
        <v>9</v>
      </c>
      <c r="G10" s="42"/>
    </row>
    <row r="11" spans="2:8" ht="20.100000000000001" customHeight="1">
      <c r="C11" s="2" t="s">
        <v>6</v>
      </c>
      <c r="D11" s="3">
        <v>5.7</v>
      </c>
    </row>
    <row r="12" spans="2:8" ht="20.100000000000001" customHeight="1">
      <c r="C12" s="2" t="s">
        <v>7</v>
      </c>
      <c r="D12" s="3">
        <v>9.1</v>
      </c>
    </row>
    <row r="13" spans="2:8" ht="20.100000000000001" customHeight="1">
      <c r="C13" s="2" t="s">
        <v>8</v>
      </c>
      <c r="D13" s="3">
        <v>3.8</v>
      </c>
    </row>
    <row r="14" spans="2:8" ht="20.100000000000001" customHeight="1">
      <c r="C14" s="2" t="s">
        <v>9</v>
      </c>
      <c r="D14" s="3">
        <v>2</v>
      </c>
    </row>
    <row r="15" spans="2:8" ht="20.100000000000001" customHeight="1">
      <c r="C15" s="2" t="s">
        <v>10</v>
      </c>
      <c r="D15" s="3">
        <v>2.8</v>
      </c>
    </row>
    <row r="16" spans="2:8" ht="20.100000000000001" customHeight="1">
      <c r="C16" s="2" t="s">
        <v>11</v>
      </c>
      <c r="D16" s="3">
        <v>7.5</v>
      </c>
    </row>
    <row r="17" spans="2:4" ht="20.100000000000001" customHeight="1">
      <c r="C17" s="2" t="s">
        <v>12</v>
      </c>
      <c r="D17" s="3">
        <v>8.3000000000000007</v>
      </c>
    </row>
    <row r="18" spans="2:4" ht="20.100000000000001" customHeight="1">
      <c r="C18" s="2" t="s">
        <v>13</v>
      </c>
      <c r="D18" s="3">
        <v>12.9</v>
      </c>
    </row>
    <row r="19" spans="2:4" ht="20.100000000000001" customHeight="1">
      <c r="C19" s="2" t="s">
        <v>14</v>
      </c>
      <c r="D19" s="3">
        <v>12.5</v>
      </c>
    </row>
    <row r="20" spans="2:4" ht="20.100000000000001" customHeight="1">
      <c r="C20" s="4" t="s">
        <v>15</v>
      </c>
      <c r="D20" s="3">
        <v>9.1999999999999993</v>
      </c>
    </row>
    <row r="21" spans="2:4" ht="20.100000000000001" customHeight="1">
      <c r="C21" s="8" t="s">
        <v>29</v>
      </c>
      <c r="D21" s="3">
        <v>8</v>
      </c>
    </row>
    <row r="22" spans="2:4" ht="20.100000000000001" customHeight="1">
      <c r="C22" s="8" t="s">
        <v>30</v>
      </c>
      <c r="D22" s="3">
        <v>68</v>
      </c>
    </row>
    <row r="23" spans="2:4" ht="20.100000000000001" customHeight="1">
      <c r="C23" s="8" t="s">
        <v>31</v>
      </c>
      <c r="D23" s="3">
        <v>40</v>
      </c>
    </row>
    <row r="24" spans="2:4" ht="20.100000000000001" customHeight="1">
      <c r="C24" s="8" t="s">
        <v>33</v>
      </c>
      <c r="D24" s="3">
        <v>19</v>
      </c>
    </row>
    <row r="25" spans="2:4" ht="20.100000000000001" customHeight="1">
      <c r="C25" s="61" t="s">
        <v>81</v>
      </c>
      <c r="D25" s="3">
        <v>14.4</v>
      </c>
    </row>
    <row r="26" spans="2:4" ht="20.100000000000001" customHeight="1">
      <c r="C26" s="8" t="s">
        <v>32</v>
      </c>
      <c r="D26" s="3">
        <v>3</v>
      </c>
    </row>
    <row r="27" spans="2:4" ht="20.100000000000001" customHeight="1">
      <c r="C27" s="61" t="s">
        <v>77</v>
      </c>
      <c r="D27" s="3">
        <v>29</v>
      </c>
    </row>
    <row r="28" spans="2:4" ht="20.100000000000001" customHeight="1">
      <c r="C28" s="61" t="s">
        <v>78</v>
      </c>
      <c r="D28" s="3">
        <v>13</v>
      </c>
    </row>
    <row r="29" spans="2:4" ht="20.100000000000001" customHeight="1">
      <c r="C29" s="61" t="s">
        <v>79</v>
      </c>
      <c r="D29" s="3">
        <v>22.8</v>
      </c>
    </row>
    <row r="30" spans="2:4" ht="20.100000000000001" customHeight="1">
      <c r="C30" s="61" t="s">
        <v>80</v>
      </c>
      <c r="D30" s="3">
        <v>14.2</v>
      </c>
    </row>
    <row r="31" spans="2:4" ht="20.100000000000001" customHeight="1">
      <c r="B31" s="150">
        <v>42064</v>
      </c>
      <c r="C31" s="239" t="s">
        <v>367</v>
      </c>
      <c r="D31" s="369">
        <v>16.5</v>
      </c>
    </row>
    <row r="32" spans="2:4" ht="20.100000000000001" customHeight="1">
      <c r="B32" s="150">
        <v>42065</v>
      </c>
      <c r="C32" s="239" t="s">
        <v>368</v>
      </c>
      <c r="D32" s="369">
        <v>1.2</v>
      </c>
    </row>
    <row r="33" spans="2:5" ht="20.100000000000001" customHeight="1">
      <c r="B33" s="150">
        <v>42066</v>
      </c>
      <c r="C33" s="238" t="s">
        <v>369</v>
      </c>
      <c r="D33" s="242">
        <v>18</v>
      </c>
    </row>
    <row r="34" spans="2:5" ht="20.100000000000001" customHeight="1">
      <c r="B34" s="150">
        <v>42125</v>
      </c>
      <c r="C34" s="239" t="s">
        <v>370</v>
      </c>
      <c r="D34" s="369">
        <v>0.8</v>
      </c>
    </row>
    <row r="35" spans="2:5" ht="20.100000000000001" customHeight="1">
      <c r="B35" s="150">
        <v>42125</v>
      </c>
      <c r="C35" s="240" t="s">
        <v>371</v>
      </c>
      <c r="D35" s="242">
        <v>43.08</v>
      </c>
    </row>
    <row r="36" spans="2:5" ht="20.100000000000001" customHeight="1">
      <c r="B36" s="150">
        <v>42156</v>
      </c>
      <c r="C36" s="240" t="s">
        <v>372</v>
      </c>
      <c r="D36" s="242">
        <v>4.8</v>
      </c>
    </row>
    <row r="37" spans="2:5" ht="20.100000000000001" customHeight="1">
      <c r="B37" s="150">
        <v>42186</v>
      </c>
      <c r="C37" s="240" t="s">
        <v>373</v>
      </c>
      <c r="D37" s="242">
        <v>5</v>
      </c>
    </row>
    <row r="38" spans="2:5" ht="20.100000000000001" customHeight="1">
      <c r="B38" s="150">
        <v>42323</v>
      </c>
      <c r="C38" s="241" t="s">
        <v>374</v>
      </c>
      <c r="D38" s="369">
        <v>15</v>
      </c>
    </row>
    <row r="39" spans="2:5" ht="20.100000000000001" customHeight="1">
      <c r="B39" s="150">
        <v>42333</v>
      </c>
      <c r="C39" s="241" t="s">
        <v>375</v>
      </c>
      <c r="D39" s="369">
        <v>60</v>
      </c>
    </row>
    <row r="40" spans="2:5" ht="20.100000000000001" customHeight="1">
      <c r="B40" s="150">
        <v>42335</v>
      </c>
      <c r="C40" s="368" t="s">
        <v>402</v>
      </c>
      <c r="D40" s="242">
        <v>1.5</v>
      </c>
    </row>
    <row r="41" spans="2:5" ht="20.100000000000001" customHeight="1">
      <c r="B41" s="495">
        <v>42335</v>
      </c>
      <c r="C41" s="368" t="s">
        <v>403</v>
      </c>
      <c r="D41" s="242">
        <v>2.2999999999999998</v>
      </c>
      <c r="E41" s="372"/>
    </row>
    <row r="42" spans="2:5" ht="20.100000000000001" customHeight="1">
      <c r="C42" s="1" t="s">
        <v>474</v>
      </c>
      <c r="D42" s="3">
        <v>2</v>
      </c>
    </row>
    <row r="43" spans="2:5" ht="20.100000000000001" customHeight="1">
      <c r="C43" s="1" t="s">
        <v>475</v>
      </c>
      <c r="D43" s="3">
        <v>3</v>
      </c>
    </row>
    <row r="44" spans="2:5" ht="20.100000000000001" customHeight="1">
      <c r="C44" s="1" t="s">
        <v>476</v>
      </c>
      <c r="D44" s="3">
        <v>2</v>
      </c>
    </row>
    <row r="45" spans="2:5" ht="20.100000000000001" customHeight="1">
      <c r="C45" s="1" t="s">
        <v>480</v>
      </c>
      <c r="D45" s="3">
        <v>22</v>
      </c>
    </row>
    <row r="46" spans="2:5" ht="20.100000000000001" customHeight="1">
      <c r="C46" s="1" t="s">
        <v>477</v>
      </c>
      <c r="D46" s="3">
        <v>5</v>
      </c>
    </row>
    <row r="47" spans="2:5" ht="20.100000000000001" customHeight="1">
      <c r="C47" s="1" t="s">
        <v>478</v>
      </c>
    </row>
    <row r="48" spans="2:5" ht="20.100000000000001" customHeight="1">
      <c r="C48" s="1" t="s">
        <v>479</v>
      </c>
      <c r="D48" s="3">
        <v>3</v>
      </c>
    </row>
    <row r="49" spans="2:5" ht="20.100000000000001" customHeight="1">
      <c r="C49" s="1" t="s">
        <v>645</v>
      </c>
      <c r="D49" s="3">
        <v>15</v>
      </c>
    </row>
    <row r="50" spans="2:5" ht="20.100000000000001" customHeight="1">
      <c r="B50" s="495">
        <v>42616</v>
      </c>
      <c r="C50" s="1" t="s">
        <v>570</v>
      </c>
      <c r="D50" s="3">
        <v>1.5</v>
      </c>
    </row>
    <row r="51" spans="2:5" ht="20.100000000000001" customHeight="1">
      <c r="B51" s="495">
        <v>42616</v>
      </c>
      <c r="C51" s="1" t="s">
        <v>644</v>
      </c>
      <c r="D51" s="3">
        <v>15.5</v>
      </c>
    </row>
    <row r="52" spans="2:5" ht="20.100000000000001" customHeight="1">
      <c r="B52" s="495">
        <v>42616</v>
      </c>
      <c r="C52" s="1" t="s">
        <v>571</v>
      </c>
      <c r="D52" s="3">
        <v>26</v>
      </c>
    </row>
    <row r="53" spans="2:5" ht="20.100000000000001" customHeight="1">
      <c r="B53" s="495">
        <v>42616</v>
      </c>
      <c r="C53" s="1" t="s">
        <v>572</v>
      </c>
      <c r="D53" s="3">
        <v>68</v>
      </c>
    </row>
    <row r="54" spans="2:5" ht="20.100000000000001" customHeight="1">
      <c r="B54" s="495">
        <v>42616</v>
      </c>
      <c r="C54" s="1" t="s">
        <v>573</v>
      </c>
      <c r="D54" s="3">
        <v>-50</v>
      </c>
    </row>
    <row r="55" spans="2:5" ht="20.100000000000001" customHeight="1">
      <c r="B55" s="495"/>
    </row>
    <row r="56" spans="2:5" ht="20.100000000000001" customHeight="1">
      <c r="B56" s="495"/>
    </row>
    <row r="57" spans="2:5" ht="20.100000000000001" customHeight="1">
      <c r="B57" s="495"/>
    </row>
    <row r="58" spans="2:5" ht="20.100000000000001" customHeight="1">
      <c r="B58" s="495"/>
    </row>
    <row r="59" spans="2:5" ht="20.100000000000001" customHeight="1">
      <c r="B59" s="495"/>
    </row>
    <row r="60" spans="2:5" ht="20.100000000000001" customHeight="1">
      <c r="B60" s="151"/>
      <c r="C60" s="63"/>
      <c r="D60" s="62"/>
      <c r="E60" s="371"/>
    </row>
    <row r="61" spans="2:5" ht="20.100000000000001" customHeight="1">
      <c r="D61" s="242">
        <f>SUM(D1:D60)</f>
        <v>663.67999999999984</v>
      </c>
      <c r="E61" s="372"/>
    </row>
    <row r="62" spans="2:5" ht="20.100000000000001" customHeight="1">
      <c r="D62" s="496"/>
      <c r="E62" s="496"/>
    </row>
  </sheetData>
  <mergeCells count="1">
    <mergeCell ref="B3: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P180"/>
  <sheetViews>
    <sheetView topLeftCell="A4" workbookViewId="0">
      <selection activeCell="B9" sqref="B9"/>
    </sheetView>
  </sheetViews>
  <sheetFormatPr defaultRowHeight="27" customHeight="1"/>
  <cols>
    <col min="1" max="1" width="3.7109375" style="243" customWidth="1"/>
    <col min="2" max="2" width="55.7109375" style="261" customWidth="1"/>
    <col min="3" max="4" width="12.7109375" style="261" customWidth="1"/>
    <col min="5" max="5" width="12.7109375" style="305" customWidth="1"/>
    <col min="6" max="6" width="12.7109375" style="261" customWidth="1"/>
    <col min="7" max="7" width="11.7109375" style="261" customWidth="1"/>
    <col min="8" max="8" width="11.7109375" style="469" customWidth="1"/>
    <col min="9" max="11" width="11.7109375" style="270" customWidth="1"/>
    <col min="12" max="13" width="8.7109375" style="261" customWidth="1"/>
    <col min="14" max="14" width="8.7109375" style="272" customWidth="1"/>
    <col min="15" max="15" width="8.7109375" style="270" customWidth="1"/>
    <col min="16" max="18" width="8.7109375" style="261" customWidth="1"/>
    <col min="19" max="16384" width="9.140625" style="261"/>
  </cols>
  <sheetData>
    <row r="1" spans="1:16" s="244" customFormat="1" ht="27" customHeight="1">
      <c r="A1" s="243"/>
      <c r="C1" s="245" t="s">
        <v>221</v>
      </c>
      <c r="D1" s="245" t="s">
        <v>349</v>
      </c>
      <c r="E1" s="245" t="s">
        <v>144</v>
      </c>
      <c r="H1" s="469"/>
      <c r="I1" s="246"/>
      <c r="J1" s="246"/>
      <c r="K1" s="246"/>
      <c r="N1" s="247"/>
      <c r="O1" s="246"/>
    </row>
    <row r="2" spans="1:16" s="244" customFormat="1" ht="27" customHeight="1">
      <c r="A2" s="243"/>
      <c r="B2" s="430" t="s">
        <v>523</v>
      </c>
      <c r="C2" s="245" t="s">
        <v>526</v>
      </c>
      <c r="D2" s="248">
        <v>2</v>
      </c>
      <c r="E2" s="249">
        <v>42595</v>
      </c>
      <c r="H2" s="469"/>
      <c r="I2" s="243"/>
      <c r="L2" s="246"/>
    </row>
    <row r="3" spans="1:16" s="244" customFormat="1" ht="27" customHeight="1">
      <c r="A3" s="243"/>
      <c r="B3" s="250"/>
      <c r="C3" s="245"/>
      <c r="D3" s="248"/>
      <c r="E3" s="249"/>
      <c r="H3" s="469"/>
      <c r="L3" s="246"/>
    </row>
    <row r="4" spans="1:16" s="244" customFormat="1" ht="27" customHeight="1">
      <c r="A4" s="243"/>
      <c r="B4" s="250" t="s">
        <v>521</v>
      </c>
      <c r="C4" s="251" t="s">
        <v>95</v>
      </c>
      <c r="D4" s="251" t="s">
        <v>385</v>
      </c>
      <c r="E4" s="251" t="s">
        <v>387</v>
      </c>
      <c r="F4" s="251" t="s">
        <v>528</v>
      </c>
      <c r="H4" s="711" t="s">
        <v>529</v>
      </c>
      <c r="I4" s="712"/>
      <c r="L4" s="246"/>
    </row>
    <row r="5" spans="1:16" s="244" customFormat="1" ht="27" customHeight="1">
      <c r="A5" s="243"/>
      <c r="B5" s="250" t="s">
        <v>483</v>
      </c>
      <c r="C5" s="384">
        <v>3</v>
      </c>
      <c r="D5" s="407">
        <f>C5*7</f>
        <v>21</v>
      </c>
      <c r="E5" s="407">
        <f>C5*5</f>
        <v>15</v>
      </c>
      <c r="F5" s="465">
        <v>46</v>
      </c>
      <c r="H5" s="469" t="s">
        <v>530</v>
      </c>
      <c r="I5" s="243">
        <v>32</v>
      </c>
      <c r="L5" s="246"/>
    </row>
    <row r="6" spans="1:16" s="244" customFormat="1" ht="27" customHeight="1">
      <c r="A6" s="243"/>
      <c r="B6" s="250" t="s">
        <v>518</v>
      </c>
      <c r="C6" s="255"/>
      <c r="D6" s="255"/>
      <c r="E6" s="290"/>
      <c r="F6" s="255"/>
      <c r="H6" s="469" t="s">
        <v>531</v>
      </c>
      <c r="I6" s="243">
        <v>70</v>
      </c>
      <c r="L6" s="246"/>
    </row>
    <row r="7" spans="1:16" s="244" customFormat="1" ht="27" customHeight="1">
      <c r="A7" s="243"/>
      <c r="B7" s="250" t="s">
        <v>520</v>
      </c>
      <c r="C7" s="251" t="s">
        <v>564</v>
      </c>
      <c r="D7" s="251" t="s">
        <v>46</v>
      </c>
      <c r="E7" s="249"/>
      <c r="F7" s="251" t="s">
        <v>541</v>
      </c>
      <c r="H7" s="469" t="s">
        <v>532</v>
      </c>
      <c r="I7" s="243">
        <v>18</v>
      </c>
      <c r="L7" s="246"/>
    </row>
    <row r="8" spans="1:16" s="244" customFormat="1" ht="27" customHeight="1">
      <c r="A8" s="243"/>
      <c r="B8" s="250" t="s">
        <v>519</v>
      </c>
      <c r="C8" s="256">
        <f>SUM(F11:F28)</f>
        <v>83.184799999999996</v>
      </c>
      <c r="D8" s="257">
        <f>C8/F8</f>
        <v>2.7728266666666666</v>
      </c>
      <c r="E8" s="249"/>
      <c r="F8" s="467">
        <v>30</v>
      </c>
      <c r="H8" s="469"/>
      <c r="I8" s="243"/>
      <c r="L8" s="246"/>
    </row>
    <row r="9" spans="1:16" s="244" customFormat="1" ht="27" customHeight="1">
      <c r="A9" s="243"/>
      <c r="B9" s="250" t="s">
        <v>517</v>
      </c>
      <c r="C9" s="245"/>
      <c r="D9" s="248"/>
      <c r="E9" s="249"/>
      <c r="H9" s="469"/>
      <c r="I9" s="243"/>
      <c r="L9" s="246"/>
    </row>
    <row r="10" spans="1:16" s="244" customFormat="1" ht="27" customHeight="1">
      <c r="A10" s="243"/>
      <c r="B10" s="258"/>
      <c r="C10" s="245"/>
      <c r="D10" s="248"/>
      <c r="E10" s="249"/>
      <c r="H10" s="469"/>
      <c r="I10" s="243"/>
      <c r="L10" s="246"/>
    </row>
    <row r="11" spans="1:16" s="244" customFormat="1" ht="27" customHeight="1">
      <c r="A11" s="243"/>
      <c r="B11" s="259" t="s">
        <v>95</v>
      </c>
      <c r="C11" s="260" t="s">
        <v>42</v>
      </c>
      <c r="D11" s="260" t="s">
        <v>354</v>
      </c>
      <c r="E11" s="260" t="s">
        <v>41</v>
      </c>
      <c r="F11" s="245" t="s">
        <v>41</v>
      </c>
      <c r="G11" s="261"/>
      <c r="H11" s="469"/>
      <c r="I11" s="243"/>
      <c r="K11" s="263"/>
      <c r="M11" s="264"/>
      <c r="O11" s="247"/>
      <c r="P11" s="264"/>
    </row>
    <row r="12" spans="1:16" ht="27" customHeight="1">
      <c r="A12" s="243">
        <v>1</v>
      </c>
      <c r="B12" s="265" t="s">
        <v>481</v>
      </c>
      <c r="C12" s="402">
        <f>C5*D12</f>
        <v>1.5</v>
      </c>
      <c r="D12" s="411">
        <v>0.5</v>
      </c>
      <c r="E12" s="363">
        <v>2</v>
      </c>
      <c r="F12" s="269">
        <f>C12*E12</f>
        <v>3</v>
      </c>
      <c r="I12" s="243"/>
      <c r="J12" s="244"/>
      <c r="M12" s="271"/>
      <c r="N12" s="261"/>
      <c r="O12" s="272"/>
      <c r="P12" s="271"/>
    </row>
    <row r="13" spans="1:16" ht="27" customHeight="1">
      <c r="A13" s="243">
        <v>2</v>
      </c>
      <c r="B13" s="265" t="s">
        <v>484</v>
      </c>
      <c r="C13" s="404">
        <f>C5*D13</f>
        <v>1.5</v>
      </c>
      <c r="D13" s="413">
        <v>0.5</v>
      </c>
      <c r="E13" s="363">
        <v>2.0499999999999998</v>
      </c>
      <c r="F13" s="274">
        <f>C13*E13</f>
        <v>3.0749999999999997</v>
      </c>
      <c r="I13" s="243"/>
      <c r="J13" s="244"/>
      <c r="M13" s="264"/>
      <c r="N13" s="261"/>
      <c r="O13" s="264"/>
      <c r="P13" s="270"/>
    </row>
    <row r="14" spans="1:16" s="255" customFormat="1" ht="27" customHeight="1">
      <c r="A14" s="275"/>
      <c r="B14" s="261"/>
      <c r="C14" s="276"/>
      <c r="D14" s="277"/>
      <c r="E14" s="278"/>
      <c r="F14" s="279"/>
      <c r="H14" s="469"/>
      <c r="I14" s="243"/>
      <c r="J14" s="244"/>
      <c r="M14" s="264"/>
      <c r="P14" s="264"/>
    </row>
    <row r="15" spans="1:16" s="255" customFormat="1" ht="27" customHeight="1">
      <c r="A15" s="275"/>
      <c r="B15" s="259" t="s">
        <v>337</v>
      </c>
      <c r="C15" s="260" t="s">
        <v>216</v>
      </c>
      <c r="D15" s="280" t="s">
        <v>335</v>
      </c>
      <c r="E15" s="281" t="s">
        <v>336</v>
      </c>
      <c r="F15" s="279"/>
      <c r="H15" s="469"/>
      <c r="I15" s="243"/>
      <c r="J15" s="244"/>
      <c r="M15" s="264"/>
      <c r="P15" s="264"/>
    </row>
    <row r="16" spans="1:16" ht="27" customHeight="1">
      <c r="A16" s="243">
        <v>3</v>
      </c>
      <c r="B16" s="265" t="s">
        <v>482</v>
      </c>
      <c r="C16" s="405">
        <f>D16*D5</f>
        <v>8.4</v>
      </c>
      <c r="D16" s="410">
        <v>0.4</v>
      </c>
      <c r="E16" s="363">
        <v>49.5</v>
      </c>
      <c r="F16" s="401">
        <f>(C16/1000)*E16</f>
        <v>0.41580000000000006</v>
      </c>
      <c r="I16" s="243"/>
      <c r="J16" s="244"/>
      <c r="M16" s="264"/>
      <c r="N16" s="261"/>
      <c r="O16" s="272"/>
      <c r="P16" s="264"/>
    </row>
    <row r="17" spans="1:16" s="255" customFormat="1" ht="27" customHeight="1">
      <c r="A17" s="275"/>
      <c r="B17" s="261"/>
      <c r="C17" s="277"/>
      <c r="D17" s="276"/>
      <c r="E17" s="278"/>
      <c r="F17" s="279"/>
      <c r="H17" s="469"/>
      <c r="I17" s="243"/>
      <c r="J17" s="244"/>
      <c r="M17" s="264"/>
      <c r="P17" s="264"/>
    </row>
    <row r="18" spans="1:16" s="255" customFormat="1" ht="27" customHeight="1">
      <c r="A18" s="275"/>
      <c r="B18" s="259" t="s">
        <v>355</v>
      </c>
      <c r="C18" s="280"/>
      <c r="D18" s="260"/>
      <c r="E18" s="281" t="s">
        <v>448</v>
      </c>
      <c r="F18" s="279"/>
      <c r="H18" s="469"/>
      <c r="I18" s="243"/>
      <c r="J18" s="244"/>
      <c r="M18" s="264"/>
      <c r="P18" s="264"/>
    </row>
    <row r="19" spans="1:16" ht="27" customHeight="1">
      <c r="A19" s="243">
        <v>4</v>
      </c>
      <c r="B19" s="265" t="s">
        <v>486</v>
      </c>
      <c r="C19" s="406" t="s">
        <v>452</v>
      </c>
      <c r="D19" s="387">
        <v>1</v>
      </c>
      <c r="E19" s="363">
        <v>3.9</v>
      </c>
      <c r="F19" s="269">
        <f>D19*E19</f>
        <v>3.9</v>
      </c>
      <c r="I19" s="243"/>
      <c r="J19" s="244"/>
      <c r="K19" s="261"/>
      <c r="M19" s="290"/>
      <c r="N19" s="261"/>
      <c r="O19" s="290"/>
      <c r="P19" s="290"/>
    </row>
    <row r="20" spans="1:16" ht="27" customHeight="1">
      <c r="A20" s="243">
        <v>5</v>
      </c>
      <c r="B20" s="469" t="s">
        <v>539</v>
      </c>
      <c r="D20" s="396">
        <v>100</v>
      </c>
      <c r="E20" s="363"/>
      <c r="F20" s="284">
        <v>2.7</v>
      </c>
      <c r="I20" s="243"/>
      <c r="J20" s="244"/>
      <c r="K20" s="261"/>
      <c r="M20" s="290"/>
      <c r="N20" s="261"/>
      <c r="O20" s="290"/>
      <c r="P20" s="290"/>
    </row>
    <row r="21" spans="1:16" ht="27" customHeight="1">
      <c r="A21" s="243">
        <v>6</v>
      </c>
      <c r="B21" s="463" t="s">
        <v>493</v>
      </c>
      <c r="C21" s="492">
        <v>0.3</v>
      </c>
      <c r="D21" s="397">
        <f>D5*C21</f>
        <v>6.3</v>
      </c>
      <c r="E21" s="363"/>
      <c r="F21" s="284">
        <v>1</v>
      </c>
      <c r="H21" s="473"/>
      <c r="J21" s="261"/>
      <c r="K21" s="261"/>
      <c r="M21" s="290"/>
      <c r="N21" s="261"/>
      <c r="O21" s="290"/>
      <c r="P21" s="290"/>
    </row>
    <row r="22" spans="1:16" ht="27" customHeight="1">
      <c r="A22" s="243">
        <v>7</v>
      </c>
      <c r="B22" s="265" t="s">
        <v>25</v>
      </c>
      <c r="C22" s="267"/>
      <c r="D22" s="466">
        <f>F5+2</f>
        <v>48</v>
      </c>
      <c r="E22" s="363">
        <v>2.8000000000000001E-2</v>
      </c>
      <c r="F22" s="284">
        <f>D22*E22</f>
        <v>1.3440000000000001</v>
      </c>
      <c r="H22" s="231" t="s">
        <v>447</v>
      </c>
      <c r="I22" s="305"/>
      <c r="J22" s="261"/>
      <c r="M22" s="264"/>
      <c r="N22" s="261"/>
      <c r="O22" s="264"/>
      <c r="P22" s="270"/>
    </row>
    <row r="23" spans="1:16" ht="27" customHeight="1">
      <c r="A23" s="243">
        <v>8</v>
      </c>
      <c r="B23" s="265" t="s">
        <v>356</v>
      </c>
      <c r="D23" s="432">
        <f>C5</f>
        <v>3</v>
      </c>
      <c r="E23" s="363">
        <v>0.25</v>
      </c>
      <c r="F23" s="274">
        <f>D23*E23</f>
        <v>0.75</v>
      </c>
      <c r="I23" s="386" t="s">
        <v>446</v>
      </c>
      <c r="J23" s="244"/>
      <c r="K23" s="244"/>
      <c r="L23" s="292"/>
      <c r="N23" s="261"/>
      <c r="O23" s="261"/>
    </row>
    <row r="24" spans="1:16" ht="27" customHeight="1">
      <c r="E24" s="268"/>
      <c r="H24" s="474" t="s">
        <v>444</v>
      </c>
      <c r="I24" s="270">
        <v>0.79251615791188768</v>
      </c>
      <c r="J24" s="385"/>
      <c r="N24" s="261"/>
      <c r="O24" s="261"/>
    </row>
    <row r="25" spans="1:16" ht="27" customHeight="1">
      <c r="B25" s="463" t="s">
        <v>43</v>
      </c>
      <c r="E25" s="268"/>
      <c r="F25" s="294">
        <v>5</v>
      </c>
      <c r="H25" s="474" t="s">
        <v>445</v>
      </c>
      <c r="I25" s="270">
        <v>1.0566882105491837</v>
      </c>
      <c r="J25" s="385"/>
      <c r="N25" s="261"/>
      <c r="O25" s="261"/>
    </row>
    <row r="26" spans="1:16" ht="27" customHeight="1">
      <c r="B26" s="261" t="s">
        <v>52</v>
      </c>
      <c r="E26" s="268"/>
      <c r="F26" s="295"/>
      <c r="H26" s="475"/>
      <c r="J26" s="261"/>
      <c r="K26" s="261"/>
      <c r="N26" s="261"/>
      <c r="O26" s="261"/>
    </row>
    <row r="27" spans="1:16" ht="27" customHeight="1">
      <c r="B27" s="261" t="s">
        <v>565</v>
      </c>
      <c r="E27" s="268"/>
      <c r="F27" s="295">
        <v>2</v>
      </c>
      <c r="H27" s="475"/>
      <c r="J27" s="261"/>
      <c r="K27" s="261"/>
      <c r="L27" s="292"/>
      <c r="N27" s="261"/>
      <c r="O27" s="261"/>
    </row>
    <row r="28" spans="1:16" ht="27" customHeight="1">
      <c r="B28" s="490" t="s">
        <v>563</v>
      </c>
      <c r="C28" s="490"/>
      <c r="D28" s="490"/>
      <c r="E28" s="491"/>
      <c r="F28" s="274">
        <f>F80+F81</f>
        <v>60</v>
      </c>
      <c r="H28" s="475"/>
      <c r="J28" s="261"/>
      <c r="K28" s="261"/>
      <c r="L28" s="292"/>
      <c r="N28" s="261"/>
      <c r="O28" s="261"/>
    </row>
    <row r="29" spans="1:16" ht="27" customHeight="1">
      <c r="D29" s="297"/>
      <c r="F29" s="297"/>
      <c r="H29" s="474" t="s">
        <v>455</v>
      </c>
      <c r="I29" s="305"/>
      <c r="J29" s="261"/>
      <c r="K29" s="298"/>
      <c r="L29" s="292"/>
      <c r="N29" s="261"/>
      <c r="O29" s="261"/>
    </row>
    <row r="30" spans="1:16" ht="27" customHeight="1">
      <c r="B30" s="299"/>
      <c r="C30" s="373"/>
      <c r="D30" s="297"/>
      <c r="H30" s="474"/>
      <c r="I30" s="305"/>
      <c r="J30" s="261"/>
      <c r="K30" s="261"/>
      <c r="N30" s="261"/>
      <c r="O30" s="261"/>
    </row>
    <row r="31" spans="1:16" ht="27" customHeight="1">
      <c r="A31" s="261"/>
      <c r="B31" s="299" t="s">
        <v>491</v>
      </c>
      <c r="C31" s="394" t="s">
        <v>441</v>
      </c>
      <c r="D31" s="448">
        <v>42595</v>
      </c>
      <c r="E31" s="449">
        <v>0.60416666666666663</v>
      </c>
      <c r="H31" s="471" t="s">
        <v>494</v>
      </c>
      <c r="I31" s="305"/>
      <c r="J31" s="261"/>
      <c r="K31" s="261"/>
      <c r="N31" s="261"/>
      <c r="O31" s="261"/>
    </row>
    <row r="32" spans="1:16" ht="27" customHeight="1">
      <c r="A32" s="261"/>
      <c r="B32" s="261" t="s">
        <v>527</v>
      </c>
      <c r="C32" s="391" t="s">
        <v>99</v>
      </c>
      <c r="D32" s="391" t="s">
        <v>100</v>
      </c>
      <c r="E32" s="391" t="s">
        <v>101</v>
      </c>
      <c r="H32" s="471"/>
      <c r="I32" s="305"/>
      <c r="J32" s="261"/>
      <c r="K32" s="261"/>
      <c r="N32" s="261"/>
      <c r="O32" s="261"/>
    </row>
    <row r="33" spans="1:15" ht="27" customHeight="1">
      <c r="B33" s="447" t="s">
        <v>533</v>
      </c>
      <c r="C33" s="407">
        <f>C5*3</f>
        <v>9</v>
      </c>
      <c r="D33" s="407">
        <f>C5*5</f>
        <v>15</v>
      </c>
      <c r="E33" s="253">
        <f>SUM(C33:D33)</f>
        <v>24</v>
      </c>
      <c r="F33" s="270"/>
      <c r="H33" s="471" t="s">
        <v>495</v>
      </c>
      <c r="I33" s="305"/>
      <c r="J33" s="261"/>
      <c r="K33" s="261"/>
      <c r="N33" s="261"/>
      <c r="O33" s="261"/>
    </row>
    <row r="34" spans="1:15" s="255" customFormat="1" ht="11.1" customHeight="1">
      <c r="A34" s="275"/>
      <c r="C34" s="444"/>
      <c r="D34" s="444"/>
      <c r="E34" s="445"/>
      <c r="F34" s="276"/>
      <c r="H34" s="472"/>
      <c r="I34" s="290"/>
    </row>
    <row r="35" spans="1:15" s="325" customFormat="1" ht="27" customHeight="1">
      <c r="A35" s="434">
        <v>1</v>
      </c>
      <c r="B35" s="325" t="s">
        <v>543</v>
      </c>
      <c r="C35" s="435"/>
      <c r="E35" s="436"/>
      <c r="F35" s="437"/>
      <c r="H35" s="476"/>
      <c r="I35" s="461"/>
    </row>
    <row r="36" spans="1:15" ht="27" customHeight="1">
      <c r="A36" s="243">
        <v>2</v>
      </c>
      <c r="B36" s="301" t="s">
        <v>534</v>
      </c>
      <c r="C36" s="302"/>
      <c r="D36" s="303"/>
      <c r="E36" s="302"/>
      <c r="I36" s="468"/>
      <c r="J36" s="305"/>
      <c r="K36" s="261"/>
      <c r="N36" s="261"/>
      <c r="O36" s="261"/>
    </row>
    <row r="37" spans="1:15" ht="27" customHeight="1">
      <c r="A37" s="434">
        <v>3</v>
      </c>
      <c r="B37" s="261" t="s">
        <v>535</v>
      </c>
      <c r="C37" s="419">
        <v>1.7361111111111112E-2</v>
      </c>
      <c r="D37" s="420">
        <v>0.62708333333333333</v>
      </c>
      <c r="E37" s="421">
        <f>D37+C37</f>
        <v>0.64444444444444449</v>
      </c>
      <c r="I37" s="468"/>
      <c r="J37" s="305"/>
      <c r="K37" s="261"/>
      <c r="L37" s="305"/>
    </row>
    <row r="38" spans="1:15" ht="27" customHeight="1">
      <c r="A38" s="243">
        <v>4</v>
      </c>
      <c r="B38" s="261" t="s">
        <v>489</v>
      </c>
      <c r="C38" s="419">
        <v>2.7777777777777776E-2</v>
      </c>
      <c r="D38" s="420">
        <v>0.65208333333333335</v>
      </c>
      <c r="E38" s="421">
        <f>D38+C38</f>
        <v>0.67986111111111114</v>
      </c>
      <c r="I38" s="468"/>
      <c r="J38" s="305"/>
      <c r="K38" s="261"/>
      <c r="L38" s="305"/>
    </row>
    <row r="39" spans="1:15" ht="27" customHeight="1">
      <c r="A39" s="434">
        <v>5</v>
      </c>
      <c r="B39" s="261" t="s">
        <v>439</v>
      </c>
      <c r="C39" s="419">
        <v>1.0416666666666666E-2</v>
      </c>
      <c r="D39" s="420">
        <v>0.6875</v>
      </c>
      <c r="E39" s="421">
        <f>D39+C39</f>
        <v>0.69791666666666663</v>
      </c>
      <c r="I39" s="468"/>
      <c r="J39" s="305"/>
      <c r="K39" s="261"/>
    </row>
    <row r="40" spans="1:15" ht="27" customHeight="1">
      <c r="A40" s="243">
        <v>6</v>
      </c>
      <c r="B40" s="261" t="s">
        <v>536</v>
      </c>
      <c r="J40" s="261"/>
    </row>
    <row r="41" spans="1:15" ht="27" customHeight="1">
      <c r="A41" s="434">
        <v>7</v>
      </c>
      <c r="B41" s="261" t="s">
        <v>537</v>
      </c>
      <c r="J41" s="261"/>
    </row>
    <row r="42" spans="1:15" ht="27" customHeight="1">
      <c r="A42" s="243">
        <v>8</v>
      </c>
      <c r="B42" s="301" t="s">
        <v>538</v>
      </c>
      <c r="C42" s="408" t="s">
        <v>458</v>
      </c>
      <c r="D42" s="409" t="s">
        <v>459</v>
      </c>
      <c r="E42" s="409" t="s">
        <v>460</v>
      </c>
    </row>
    <row r="43" spans="1:15" ht="27" customHeight="1">
      <c r="A43" s="434">
        <v>9</v>
      </c>
      <c r="B43" s="244" t="s">
        <v>457</v>
      </c>
      <c r="C43" s="417">
        <v>22</v>
      </c>
      <c r="D43" s="417">
        <v>10</v>
      </c>
      <c r="E43" s="417">
        <v>12</v>
      </c>
    </row>
    <row r="44" spans="1:15" ht="27" customHeight="1">
      <c r="A44" s="243">
        <v>10</v>
      </c>
      <c r="B44" s="464" t="s">
        <v>554</v>
      </c>
      <c r="C44" s="479">
        <v>15</v>
      </c>
      <c r="D44" s="479">
        <v>33</v>
      </c>
      <c r="E44" s="460">
        <f>(3.14*C44*C44*D44)/1000</f>
        <v>23.314499999999999</v>
      </c>
    </row>
    <row r="45" spans="1:15" ht="27" customHeight="1">
      <c r="A45" s="434">
        <v>11</v>
      </c>
      <c r="B45" s="244" t="s">
        <v>507</v>
      </c>
      <c r="C45" s="310"/>
      <c r="D45" s="391" t="s">
        <v>500</v>
      </c>
      <c r="E45" s="391" t="s">
        <v>461</v>
      </c>
    </row>
    <row r="46" spans="1:15" ht="27" customHeight="1">
      <c r="A46" s="243">
        <v>12</v>
      </c>
      <c r="B46" s="301" t="s">
        <v>380</v>
      </c>
      <c r="D46" s="439">
        <v>4.8611111111111112E-2</v>
      </c>
      <c r="E46" s="422">
        <v>0.73958333333333337</v>
      </c>
    </row>
    <row r="47" spans="1:15" ht="27" customHeight="1">
      <c r="A47" s="434">
        <v>13</v>
      </c>
      <c r="B47" s="317" t="str">
        <f>B16</f>
        <v>MAGNUM   (горчив:  12,7%)</v>
      </c>
      <c r="C47" s="405">
        <f>C16</f>
        <v>8.4</v>
      </c>
      <c r="D47" s="419">
        <v>4.1666666666666664E-2</v>
      </c>
      <c r="E47" s="419">
        <f>E48-D47</f>
        <v>0.7465277777777779</v>
      </c>
    </row>
    <row r="48" spans="1:15" ht="27" customHeight="1">
      <c r="A48" s="243">
        <v>14</v>
      </c>
      <c r="B48" s="319" t="s">
        <v>340</v>
      </c>
      <c r="D48" s="395" t="s">
        <v>497</v>
      </c>
      <c r="E48" s="477">
        <f>E46+D46</f>
        <v>0.78819444444444453</v>
      </c>
      <c r="F48" s="322"/>
      <c r="I48" s="305"/>
      <c r="J48" s="261"/>
      <c r="K48" s="261"/>
      <c r="N48" s="261"/>
      <c r="O48" s="261"/>
    </row>
    <row r="49" spans="1:15" ht="27" customHeight="1">
      <c r="A49" s="434">
        <v>15</v>
      </c>
      <c r="B49" s="441" t="s">
        <v>542</v>
      </c>
      <c r="C49" s="424"/>
      <c r="D49" s="424"/>
      <c r="E49" s="478">
        <f>D49-C49</f>
        <v>0</v>
      </c>
      <c r="F49" s="305"/>
      <c r="I49" s="305"/>
      <c r="J49" s="261"/>
      <c r="K49" s="261"/>
      <c r="N49" s="261"/>
      <c r="O49" s="261"/>
    </row>
    <row r="50" spans="1:15" ht="27" customHeight="1">
      <c r="A50" s="243">
        <v>16</v>
      </c>
      <c r="B50" s="464" t="s">
        <v>511</v>
      </c>
      <c r="C50" s="314"/>
      <c r="D50" s="314"/>
      <c r="E50" s="457">
        <v>16</v>
      </c>
      <c r="I50" s="305"/>
      <c r="J50" s="261"/>
      <c r="K50" s="261"/>
      <c r="N50" s="261"/>
      <c r="O50" s="261"/>
    </row>
    <row r="51" spans="1:15" ht="27" customHeight="1">
      <c r="A51" s="434">
        <v>17</v>
      </c>
      <c r="B51" s="463" t="s">
        <v>498</v>
      </c>
      <c r="C51" s="464"/>
      <c r="D51" s="464"/>
      <c r="E51" s="417">
        <v>12</v>
      </c>
      <c r="F51" s="305"/>
      <c r="I51" s="305"/>
      <c r="J51" s="261"/>
      <c r="K51" s="261"/>
      <c r="N51" s="261"/>
      <c r="O51" s="261"/>
    </row>
    <row r="52" spans="1:15" ht="27" customHeight="1">
      <c r="A52" s="243">
        <v>18</v>
      </c>
      <c r="B52" s="317" t="str">
        <f>B20</f>
        <v>портокалови кори</v>
      </c>
      <c r="D52" s="314"/>
      <c r="E52" s="398">
        <v>100</v>
      </c>
      <c r="I52" s="305"/>
      <c r="J52" s="261"/>
      <c r="K52" s="261"/>
      <c r="N52" s="261"/>
      <c r="O52" s="261"/>
    </row>
    <row r="53" spans="1:15" ht="27" customHeight="1">
      <c r="A53" s="434">
        <v>19</v>
      </c>
      <c r="B53" s="317" t="str">
        <f>B21</f>
        <v>счукан кориандър в чорапче</v>
      </c>
      <c r="E53" s="398">
        <f>D21</f>
        <v>6.3</v>
      </c>
      <c r="I53" s="305"/>
      <c r="J53" s="261"/>
      <c r="K53" s="261"/>
      <c r="N53" s="261"/>
      <c r="O53" s="261"/>
    </row>
    <row r="54" spans="1:15" ht="27" customHeight="1">
      <c r="A54" s="243">
        <v>20</v>
      </c>
      <c r="B54" s="336" t="s">
        <v>324</v>
      </c>
      <c r="E54" s="261"/>
      <c r="I54" s="305"/>
      <c r="J54" s="261"/>
      <c r="K54" s="261"/>
      <c r="N54" s="261"/>
      <c r="O54" s="261"/>
    </row>
    <row r="55" spans="1:15" ht="27" customHeight="1">
      <c r="A55" s="434">
        <v>21</v>
      </c>
      <c r="B55" s="261" t="s">
        <v>540</v>
      </c>
      <c r="C55" s="394" t="s">
        <v>441</v>
      </c>
      <c r="D55" s="448">
        <v>42595</v>
      </c>
      <c r="E55" s="449">
        <v>0.89583333333333337</v>
      </c>
      <c r="I55" s="305"/>
      <c r="J55" s="261"/>
      <c r="K55" s="261"/>
      <c r="N55" s="261"/>
      <c r="O55" s="261"/>
    </row>
    <row r="56" spans="1:15" ht="27" customHeight="1">
      <c r="A56" s="243">
        <v>22</v>
      </c>
      <c r="B56" s="708" t="s">
        <v>547</v>
      </c>
      <c r="C56" s="708"/>
      <c r="D56" s="708"/>
      <c r="E56" s="708"/>
      <c r="F56" s="305"/>
      <c r="I56" s="305"/>
      <c r="J56" s="261"/>
      <c r="K56" s="261"/>
      <c r="N56" s="261"/>
      <c r="O56" s="261"/>
    </row>
    <row r="57" spans="1:15" s="317" customFormat="1" ht="27" customHeight="1">
      <c r="A57" s="434">
        <v>23</v>
      </c>
      <c r="B57" s="709" t="s">
        <v>509</v>
      </c>
      <c r="C57" s="709"/>
      <c r="D57" s="710"/>
      <c r="E57" s="417">
        <v>6</v>
      </c>
      <c r="F57" s="324"/>
      <c r="H57" s="474"/>
      <c r="I57" s="324"/>
    </row>
    <row r="58" spans="1:15" s="317" customFormat="1" ht="27" customHeight="1">
      <c r="A58" s="243">
        <v>24</v>
      </c>
      <c r="B58" s="463" t="s">
        <v>514</v>
      </c>
      <c r="D58" s="395" t="s">
        <v>515</v>
      </c>
      <c r="E58" s="448">
        <v>42602</v>
      </c>
      <c r="F58" s="324"/>
      <c r="H58" s="474"/>
      <c r="I58" s="324"/>
    </row>
    <row r="60" spans="1:15" s="325" customFormat="1" ht="27" customHeight="1">
      <c r="B60" s="326" t="s">
        <v>71</v>
      </c>
      <c r="E60" s="461"/>
      <c r="H60" s="476"/>
      <c r="I60" s="461"/>
    </row>
    <row r="61" spans="1:15" s="325" customFormat="1" ht="27" customHeight="1">
      <c r="B61" s="327" t="s">
        <v>416</v>
      </c>
      <c r="E61" s="456"/>
      <c r="H61" s="476"/>
      <c r="I61" s="461"/>
    </row>
    <row r="62" spans="1:15" s="325" customFormat="1" ht="27" customHeight="1">
      <c r="B62" s="328" t="s">
        <v>366</v>
      </c>
      <c r="E62" s="457"/>
      <c r="H62" s="476"/>
      <c r="I62" s="461"/>
    </row>
    <row r="63" spans="1:15" s="325" customFormat="1" ht="27" customHeight="1">
      <c r="B63" s="328" t="s">
        <v>75</v>
      </c>
      <c r="E63" s="331">
        <v>6</v>
      </c>
      <c r="F63" s="474" t="s">
        <v>566</v>
      </c>
      <c r="H63" s="476"/>
      <c r="I63" s="461"/>
    </row>
    <row r="64" spans="1:15" s="325" customFormat="1" ht="27" customHeight="1">
      <c r="B64" s="328" t="s">
        <v>414</v>
      </c>
      <c r="E64" s="331">
        <f>1*E61*10*80%</f>
        <v>0</v>
      </c>
      <c r="F64" s="325" t="s">
        <v>567</v>
      </c>
      <c r="H64" s="476"/>
      <c r="I64" s="461"/>
    </row>
    <row r="65" spans="1:15" s="325" customFormat="1" ht="27" customHeight="1">
      <c r="B65" s="332" t="s">
        <v>415</v>
      </c>
      <c r="E65" s="333" t="e">
        <f>E62*E63/E64</f>
        <v>#DIV/0!</v>
      </c>
      <c r="F65" s="325" t="s">
        <v>568</v>
      </c>
      <c r="H65" s="476"/>
      <c r="I65" s="461"/>
    </row>
    <row r="66" spans="1:15" s="325" customFormat="1" ht="27" customHeight="1">
      <c r="B66" s="334"/>
      <c r="D66" s="335"/>
      <c r="E66" s="461"/>
      <c r="H66" s="476"/>
      <c r="I66" s="461"/>
    </row>
    <row r="67" spans="1:15" ht="27" customHeight="1">
      <c r="B67" s="336" t="s">
        <v>548</v>
      </c>
      <c r="C67" s="305"/>
      <c r="D67" s="305"/>
      <c r="I67" s="305"/>
      <c r="J67" s="261"/>
      <c r="K67" s="261"/>
      <c r="N67" s="261"/>
      <c r="O67" s="261"/>
    </row>
    <row r="68" spans="1:15" s="298" customFormat="1" ht="27" customHeight="1">
      <c r="A68" s="337"/>
      <c r="B68" s="338" t="s">
        <v>413</v>
      </c>
      <c r="C68" s="339"/>
      <c r="D68" s="339"/>
      <c r="E68" s="458">
        <f>(E51-E57)*0.52</f>
        <v>3.12</v>
      </c>
      <c r="H68" s="345"/>
      <c r="I68" s="297"/>
      <c r="J68" s="297"/>
      <c r="K68" s="297"/>
      <c r="N68" s="341"/>
      <c r="O68" s="297"/>
    </row>
    <row r="69" spans="1:15" s="298" customFormat="1" ht="27" customHeight="1">
      <c r="A69" s="337"/>
      <c r="B69" s="342" t="s">
        <v>223</v>
      </c>
      <c r="C69" s="339"/>
      <c r="D69" s="339"/>
      <c r="E69" s="459">
        <f>E51</f>
        <v>12</v>
      </c>
      <c r="H69" s="345"/>
      <c r="I69" s="297"/>
      <c r="J69" s="297"/>
      <c r="K69" s="297"/>
      <c r="N69" s="341"/>
      <c r="O69" s="297"/>
    </row>
    <row r="70" spans="1:15" s="298" customFormat="1" ht="27" customHeight="1">
      <c r="A70" s="337"/>
      <c r="B70" s="344" t="s">
        <v>219</v>
      </c>
      <c r="C70" s="345"/>
      <c r="D70" s="345"/>
      <c r="E70" s="392">
        <v>20</v>
      </c>
      <c r="H70" s="345"/>
      <c r="I70" s="347"/>
    </row>
    <row r="71" spans="1:15" s="298" customFormat="1" ht="27" customHeight="1">
      <c r="A71" s="337"/>
      <c r="B71" s="344" t="s">
        <v>218</v>
      </c>
      <c r="C71" s="347"/>
      <c r="E71" s="453">
        <v>3.7</v>
      </c>
      <c r="H71" s="345"/>
      <c r="I71" s="347"/>
    </row>
    <row r="72" spans="1:15" s="298" customFormat="1" ht="27" customHeight="1">
      <c r="A72" s="337"/>
      <c r="B72" s="349" t="s">
        <v>224</v>
      </c>
      <c r="C72" s="345"/>
      <c r="D72" s="345"/>
      <c r="E72" s="454">
        <f>(E51/(258.6-((E51/258.2)*227.1))) + 1</f>
        <v>1.0483782421572725</v>
      </c>
      <c r="H72" s="345"/>
      <c r="I72" s="347"/>
    </row>
    <row r="73" spans="1:15" s="298" customFormat="1" ht="27" customHeight="1">
      <c r="A73" s="337"/>
      <c r="B73" s="351" t="s">
        <v>225</v>
      </c>
      <c r="C73" s="345"/>
      <c r="D73" s="345"/>
      <c r="E73" s="455">
        <f>(E57/(258.6-((E57/258.2)*227.1))) + 1</f>
        <v>1.023685205094429</v>
      </c>
      <c r="H73" s="345"/>
      <c r="I73" s="347"/>
    </row>
    <row r="74" spans="1:15" ht="27" customHeight="1">
      <c r="B74" s="317"/>
      <c r="F74"/>
      <c r="H74" s="470"/>
    </row>
    <row r="75" spans="1:15" s="298" customFormat="1" ht="27" customHeight="1">
      <c r="A75" s="337"/>
      <c r="B75" s="374" t="s">
        <v>154</v>
      </c>
      <c r="E75" s="353">
        <f>((E76*E77)/E78)/100</f>
        <v>0.64</v>
      </c>
      <c r="H75" s="345"/>
      <c r="I75" s="297"/>
      <c r="J75" s="297"/>
      <c r="K75" s="297"/>
      <c r="N75" s="341"/>
      <c r="O75" s="297"/>
    </row>
    <row r="76" spans="1:15" s="298" customFormat="1" ht="27" customHeight="1">
      <c r="A76" s="337"/>
      <c r="B76" s="354" t="s">
        <v>510</v>
      </c>
      <c r="E76" s="355">
        <f>E50</f>
        <v>16</v>
      </c>
      <c r="H76" s="345"/>
      <c r="I76" s="297"/>
      <c r="J76" s="297"/>
      <c r="K76" s="297"/>
      <c r="N76" s="341"/>
      <c r="O76" s="297"/>
    </row>
    <row r="77" spans="1:15" s="298" customFormat="1" ht="27" customHeight="1">
      <c r="A77" s="337"/>
      <c r="B77" s="354" t="s">
        <v>361</v>
      </c>
      <c r="E77" s="356">
        <f>E51</f>
        <v>12</v>
      </c>
      <c r="H77" s="345"/>
      <c r="I77" s="297"/>
      <c r="J77" s="297"/>
      <c r="K77" s="297"/>
      <c r="N77" s="341"/>
      <c r="O77" s="297"/>
    </row>
    <row r="78" spans="1:15" s="298" customFormat="1" ht="27" customHeight="1">
      <c r="A78" s="337"/>
      <c r="B78" s="357" t="s">
        <v>153</v>
      </c>
      <c r="E78" s="415">
        <f>C5</f>
        <v>3</v>
      </c>
      <c r="H78" s="345"/>
      <c r="I78" s="297"/>
      <c r="J78" s="297"/>
      <c r="K78" s="297"/>
      <c r="N78" s="341"/>
      <c r="O78" s="297"/>
    </row>
    <row r="79" spans="1:15" ht="27" customHeight="1">
      <c r="B79" s="317"/>
      <c r="F79"/>
      <c r="H79" s="470"/>
    </row>
    <row r="80" spans="1:15" s="298" customFormat="1" ht="27" customHeight="1">
      <c r="A80" s="337"/>
      <c r="B80" s="480" t="s">
        <v>555</v>
      </c>
      <c r="D80" s="488">
        <v>5</v>
      </c>
      <c r="E80" s="481">
        <f>E55-E31</f>
        <v>0.29166666666666674</v>
      </c>
      <c r="F80" s="294">
        <v>35</v>
      </c>
      <c r="H80" s="345"/>
      <c r="I80" s="347"/>
    </row>
    <row r="81" spans="1:15" s="298" customFormat="1" ht="27" customHeight="1">
      <c r="A81" s="337"/>
      <c r="B81" s="354" t="s">
        <v>562</v>
      </c>
      <c r="D81" s="488">
        <v>5</v>
      </c>
      <c r="E81" s="489">
        <v>0.20833333333333334</v>
      </c>
      <c r="F81" s="296">
        <v>25</v>
      </c>
      <c r="H81" s="345"/>
      <c r="I81" s="347"/>
    </row>
    <row r="82" spans="1:15" s="298" customFormat="1" ht="27" customHeight="1">
      <c r="A82" s="337"/>
      <c r="B82" s="354" t="s">
        <v>556</v>
      </c>
      <c r="E82" s="482">
        <f>E49</f>
        <v>0</v>
      </c>
      <c r="H82" s="345"/>
      <c r="I82" s="347"/>
    </row>
    <row r="83" spans="1:15" s="298" customFormat="1" ht="27" customHeight="1">
      <c r="A83" s="337"/>
      <c r="B83" s="357" t="s">
        <v>557</v>
      </c>
      <c r="E83" s="483">
        <v>4</v>
      </c>
      <c r="H83" s="345"/>
      <c r="I83" s="347"/>
    </row>
    <row r="84" spans="1:15" s="298" customFormat="1" ht="27" customHeight="1">
      <c r="A84" s="337"/>
      <c r="E84" s="347"/>
      <c r="H84" s="345"/>
      <c r="I84" s="347"/>
    </row>
    <row r="85" spans="1:15" s="298" customFormat="1" ht="27" customHeight="1">
      <c r="A85" s="337"/>
      <c r="E85" s="347"/>
      <c r="H85" s="345"/>
      <c r="I85" s="347"/>
    </row>
    <row r="86" spans="1:15" s="298" customFormat="1" ht="27" customHeight="1">
      <c r="A86" s="337"/>
      <c r="B86" s="359"/>
      <c r="E86" s="347"/>
      <c r="H86" s="345"/>
      <c r="I86" s="347"/>
    </row>
    <row r="87" spans="1:15" s="298" customFormat="1" ht="27" customHeight="1">
      <c r="A87" s="337"/>
      <c r="E87" s="347"/>
      <c r="H87" s="345"/>
      <c r="I87" s="297"/>
      <c r="J87" s="297"/>
      <c r="K87" s="297"/>
      <c r="N87" s="341"/>
      <c r="O87" s="297"/>
    </row>
    <row r="88" spans="1:15" s="298" customFormat="1" ht="27" customHeight="1">
      <c r="A88" s="337"/>
      <c r="B88" s="359" t="s">
        <v>220</v>
      </c>
      <c r="E88" s="347"/>
      <c r="H88" s="345"/>
      <c r="I88" s="297"/>
      <c r="J88" s="297"/>
      <c r="K88" s="297"/>
      <c r="N88" s="341"/>
      <c r="O88" s="297"/>
    </row>
    <row r="89" spans="1:15" s="298" customFormat="1" ht="27" customHeight="1">
      <c r="A89" s="337"/>
      <c r="B89" s="298" t="s">
        <v>553</v>
      </c>
      <c r="E89" s="347"/>
      <c r="H89" s="345"/>
      <c r="I89" s="297"/>
      <c r="J89" s="297"/>
      <c r="K89" s="297"/>
      <c r="N89" s="341"/>
      <c r="O89" s="297"/>
    </row>
    <row r="90" spans="1:15" s="298" customFormat="1" ht="27" customHeight="1">
      <c r="A90" s="337"/>
      <c r="B90" s="298" t="s">
        <v>544</v>
      </c>
      <c r="E90" s="347"/>
      <c r="H90" s="345"/>
      <c r="I90" s="297"/>
      <c r="J90" s="297"/>
      <c r="K90" s="297"/>
      <c r="N90" s="341"/>
      <c r="O90" s="297"/>
    </row>
    <row r="91" spans="1:15" ht="27" customHeight="1">
      <c r="B91" s="317" t="s">
        <v>545</v>
      </c>
    </row>
    <row r="92" spans="1:15" ht="27" customHeight="1">
      <c r="B92" s="317" t="s">
        <v>546</v>
      </c>
      <c r="F92"/>
    </row>
    <row r="93" spans="1:15" ht="27" customHeight="1">
      <c r="B93" s="317" t="s">
        <v>550</v>
      </c>
      <c r="F93"/>
    </row>
    <row r="94" spans="1:15" ht="27" customHeight="1">
      <c r="B94" s="317" t="s">
        <v>549</v>
      </c>
      <c r="F94"/>
    </row>
    <row r="95" spans="1:15" ht="27" customHeight="1">
      <c r="B95" s="317" t="s">
        <v>551</v>
      </c>
      <c r="F95"/>
    </row>
    <row r="96" spans="1:15" ht="27" customHeight="1">
      <c r="B96" s="317" t="s">
        <v>552</v>
      </c>
      <c r="F96"/>
    </row>
    <row r="97" spans="1:15" ht="27" customHeight="1">
      <c r="B97" s="317"/>
      <c r="F97"/>
    </row>
    <row r="98" spans="1:15" ht="27" customHeight="1">
      <c r="F98" s="704" t="s">
        <v>339</v>
      </c>
      <c r="G98" s="705"/>
      <c r="H98" s="261"/>
    </row>
    <row r="99" spans="1:15" ht="27" customHeight="1">
      <c r="F99" s="360" t="s">
        <v>238</v>
      </c>
      <c r="G99" s="360" t="s">
        <v>239</v>
      </c>
      <c r="H99" s="261"/>
    </row>
    <row r="100" spans="1:15" ht="27" customHeight="1">
      <c r="B100" s="255"/>
      <c r="C100" s="498"/>
      <c r="F100" s="361">
        <v>0.5</v>
      </c>
      <c r="G100" s="450">
        <v>1.002</v>
      </c>
      <c r="H100" s="261"/>
    </row>
    <row r="101" spans="1:15" ht="27" customHeight="1">
      <c r="B101" s="255"/>
      <c r="C101" s="499"/>
      <c r="F101" s="361">
        <v>1</v>
      </c>
      <c r="G101" s="450">
        <v>1.004</v>
      </c>
      <c r="H101" s="452"/>
    </row>
    <row r="102" spans="1:15" ht="27" customHeight="1">
      <c r="B102" s="500"/>
      <c r="C102" s="499"/>
      <c r="F102" s="361">
        <v>1.5</v>
      </c>
      <c r="G102" s="450">
        <v>1.006</v>
      </c>
      <c r="H102" s="452"/>
    </row>
    <row r="103" spans="1:15" ht="27" customHeight="1">
      <c r="C103" s="486"/>
      <c r="F103" s="361">
        <v>2</v>
      </c>
      <c r="G103" s="450">
        <v>1.008</v>
      </c>
      <c r="H103" s="452"/>
    </row>
    <row r="104" spans="1:15" ht="27" customHeight="1">
      <c r="F104" s="361">
        <v>2.5</v>
      </c>
      <c r="G104" s="450">
        <v>1.01</v>
      </c>
      <c r="H104" s="452"/>
    </row>
    <row r="105" spans="1:15" ht="27" customHeight="1">
      <c r="B105" s="261" t="s">
        <v>560</v>
      </c>
      <c r="C105" s="484">
        <v>60</v>
      </c>
      <c r="F105" s="361">
        <v>3</v>
      </c>
      <c r="G105" s="450">
        <v>1.012</v>
      </c>
      <c r="H105" s="452"/>
    </row>
    <row r="106" spans="1:15" ht="27" customHeight="1">
      <c r="B106" s="261" t="s">
        <v>561</v>
      </c>
      <c r="C106" s="484">
        <v>20</v>
      </c>
      <c r="F106" s="361">
        <v>3.5</v>
      </c>
      <c r="G106" s="450">
        <v>1.014</v>
      </c>
      <c r="H106" s="452"/>
    </row>
    <row r="107" spans="1:15" ht="27" customHeight="1">
      <c r="A107" s="261"/>
      <c r="B107" s="255"/>
      <c r="C107" s="498"/>
      <c r="F107" s="361">
        <v>4</v>
      </c>
      <c r="G107" s="450">
        <v>1.016</v>
      </c>
      <c r="H107" s="452"/>
      <c r="I107" s="305"/>
      <c r="J107" s="261"/>
      <c r="K107" s="261"/>
      <c r="N107" s="261"/>
      <c r="O107" s="261"/>
    </row>
    <row r="108" spans="1:15" ht="27" customHeight="1">
      <c r="A108" s="261"/>
      <c r="B108" s="261" t="s">
        <v>558</v>
      </c>
      <c r="C108" s="484">
        <v>10</v>
      </c>
      <c r="F108" s="361">
        <v>4.5</v>
      </c>
      <c r="G108" s="450">
        <v>1.018</v>
      </c>
      <c r="H108" s="452"/>
      <c r="I108" s="305"/>
      <c r="J108" s="261"/>
      <c r="K108" s="261"/>
      <c r="N108" s="261"/>
      <c r="O108" s="261"/>
    </row>
    <row r="109" spans="1:15" ht="27" customHeight="1">
      <c r="A109" s="261"/>
      <c r="C109" s="487">
        <f>SUM(C105:C108)</f>
        <v>90</v>
      </c>
      <c r="F109" s="361">
        <v>5</v>
      </c>
      <c r="G109" s="450">
        <v>1.02</v>
      </c>
      <c r="H109" s="452"/>
      <c r="I109" s="305"/>
      <c r="J109" s="261"/>
      <c r="K109" s="261"/>
      <c r="N109" s="261"/>
      <c r="O109" s="261"/>
    </row>
    <row r="110" spans="1:15" ht="27" customHeight="1">
      <c r="A110" s="261"/>
      <c r="F110" s="361">
        <v>5.5</v>
      </c>
      <c r="G110" s="450">
        <v>1.022</v>
      </c>
      <c r="H110" s="452"/>
      <c r="I110" s="305"/>
      <c r="J110" s="261"/>
      <c r="K110" s="261"/>
      <c r="N110" s="261"/>
      <c r="O110" s="261"/>
    </row>
    <row r="111" spans="1:15" ht="27" customHeight="1">
      <c r="A111" s="261"/>
      <c r="C111" s="485">
        <f>C109+C100</f>
        <v>90</v>
      </c>
      <c r="F111" s="361">
        <v>6</v>
      </c>
      <c r="G111" s="450">
        <v>1.024</v>
      </c>
      <c r="H111" s="452"/>
      <c r="I111" s="305"/>
      <c r="J111" s="261"/>
      <c r="K111" s="261"/>
      <c r="N111" s="261"/>
      <c r="O111" s="261"/>
    </row>
    <row r="112" spans="1:15" ht="27" customHeight="1">
      <c r="A112" s="261"/>
      <c r="F112" s="361">
        <v>6.5</v>
      </c>
      <c r="G112" s="450">
        <v>1.026</v>
      </c>
      <c r="H112" s="452"/>
      <c r="I112" s="305"/>
      <c r="J112" s="261"/>
      <c r="K112" s="261"/>
      <c r="N112" s="261"/>
      <c r="O112" s="261"/>
    </row>
    <row r="113" spans="1:15" ht="27" customHeight="1">
      <c r="A113" s="261"/>
      <c r="F113" s="361">
        <v>7</v>
      </c>
      <c r="G113" s="450">
        <v>1.028</v>
      </c>
      <c r="H113" s="452"/>
      <c r="I113" s="305"/>
      <c r="J113" s="261"/>
      <c r="K113" s="261"/>
      <c r="N113" s="261"/>
      <c r="O113" s="261"/>
    </row>
    <row r="114" spans="1:15" ht="27" customHeight="1">
      <c r="A114" s="261"/>
      <c r="F114" s="361">
        <v>7.5</v>
      </c>
      <c r="G114" s="450">
        <v>1.03</v>
      </c>
      <c r="H114" s="452"/>
      <c r="I114" s="305"/>
      <c r="J114" s="261"/>
      <c r="K114" s="261"/>
      <c r="N114" s="261"/>
      <c r="O114" s="261"/>
    </row>
    <row r="115" spans="1:15" ht="27" customHeight="1">
      <c r="A115" s="261"/>
      <c r="F115" s="361">
        <v>8</v>
      </c>
      <c r="G115" s="450">
        <v>1.032</v>
      </c>
      <c r="H115" s="452"/>
      <c r="I115" s="305"/>
      <c r="J115" s="261"/>
      <c r="K115" s="261"/>
      <c r="N115" s="261"/>
      <c r="O115" s="261"/>
    </row>
    <row r="116" spans="1:15" ht="27" customHeight="1">
      <c r="A116" s="261"/>
      <c r="F116" s="361">
        <v>8.5</v>
      </c>
      <c r="G116" s="450">
        <v>1.034</v>
      </c>
      <c r="H116" s="452"/>
      <c r="I116" s="305"/>
      <c r="J116" s="261"/>
      <c r="K116" s="261"/>
      <c r="N116" s="261"/>
      <c r="O116" s="261"/>
    </row>
    <row r="117" spans="1:15" ht="27" customHeight="1">
      <c r="A117" s="261"/>
      <c r="F117" s="361">
        <v>9</v>
      </c>
      <c r="G117" s="450">
        <v>1.036</v>
      </c>
      <c r="H117" s="452"/>
      <c r="I117" s="305"/>
      <c r="J117" s="261"/>
      <c r="K117" s="261"/>
      <c r="N117" s="261"/>
      <c r="O117" s="261"/>
    </row>
    <row r="118" spans="1:15" ht="27" customHeight="1">
      <c r="A118" s="261"/>
      <c r="F118" s="361">
        <v>9.5</v>
      </c>
      <c r="G118" s="450">
        <v>1.038</v>
      </c>
      <c r="H118" s="452"/>
      <c r="I118" s="305"/>
      <c r="J118" s="261"/>
      <c r="K118" s="261"/>
      <c r="N118" s="261"/>
      <c r="O118" s="261"/>
    </row>
    <row r="119" spans="1:15" ht="27" customHeight="1">
      <c r="A119" s="261"/>
      <c r="F119" s="361">
        <v>10</v>
      </c>
      <c r="G119" s="450">
        <v>1.04</v>
      </c>
      <c r="H119" s="452"/>
      <c r="I119" s="305"/>
      <c r="J119" s="261"/>
      <c r="K119" s="261"/>
      <c r="N119" s="261"/>
      <c r="O119" s="261"/>
    </row>
    <row r="120" spans="1:15" ht="27" customHeight="1">
      <c r="A120" s="261"/>
      <c r="F120" s="361">
        <v>10.5</v>
      </c>
      <c r="G120" s="450">
        <v>1.042</v>
      </c>
      <c r="H120" s="452"/>
      <c r="I120" s="305"/>
      <c r="J120" s="261"/>
      <c r="K120" s="261"/>
      <c r="N120" s="261"/>
      <c r="O120" s="261"/>
    </row>
    <row r="121" spans="1:15" ht="27" customHeight="1">
      <c r="A121" s="261"/>
      <c r="F121" s="361">
        <v>11</v>
      </c>
      <c r="G121" s="450">
        <v>1.044</v>
      </c>
      <c r="H121" s="452"/>
      <c r="I121" s="305"/>
      <c r="J121" s="261"/>
      <c r="K121" s="261"/>
      <c r="N121" s="261"/>
      <c r="O121" s="261"/>
    </row>
    <row r="122" spans="1:15" ht="27" customHeight="1">
      <c r="A122" s="261"/>
      <c r="F122" s="361">
        <v>11.5</v>
      </c>
      <c r="G122" s="450">
        <v>1.046</v>
      </c>
      <c r="H122" s="452"/>
      <c r="I122" s="305"/>
      <c r="J122" s="261"/>
      <c r="K122" s="261"/>
      <c r="N122" s="261"/>
      <c r="O122" s="261"/>
    </row>
    <row r="123" spans="1:15" ht="27" customHeight="1">
      <c r="A123" s="261"/>
      <c r="F123" s="361">
        <v>12</v>
      </c>
      <c r="G123" s="450">
        <v>1.048</v>
      </c>
      <c r="H123" s="452"/>
      <c r="I123" s="305"/>
      <c r="J123" s="261"/>
      <c r="K123" s="261"/>
      <c r="N123" s="261"/>
      <c r="O123" s="261"/>
    </row>
    <row r="124" spans="1:15" ht="27" customHeight="1">
      <c r="A124" s="261"/>
      <c r="F124" s="361">
        <v>12.5</v>
      </c>
      <c r="G124" s="450">
        <v>1.05</v>
      </c>
      <c r="H124" s="452"/>
      <c r="I124" s="305"/>
      <c r="J124" s="261"/>
      <c r="K124" s="261"/>
      <c r="N124" s="261"/>
      <c r="O124" s="261"/>
    </row>
    <row r="125" spans="1:15" ht="27" customHeight="1">
      <c r="A125" s="261"/>
      <c r="F125" s="361">
        <v>13</v>
      </c>
      <c r="G125" s="450">
        <v>1.0529999999999999</v>
      </c>
      <c r="H125" s="452"/>
      <c r="I125" s="305"/>
      <c r="J125" s="261"/>
      <c r="K125" s="261"/>
      <c r="N125" s="261"/>
      <c r="O125" s="261"/>
    </row>
    <row r="126" spans="1:15" ht="27" customHeight="1">
      <c r="A126" s="261"/>
      <c r="F126" s="361">
        <v>13.5</v>
      </c>
      <c r="G126" s="450">
        <v>1.0549999999999999</v>
      </c>
      <c r="H126" s="452"/>
      <c r="I126" s="305"/>
      <c r="J126" s="261"/>
      <c r="K126" s="261"/>
      <c r="N126" s="261"/>
      <c r="O126" s="261"/>
    </row>
    <row r="127" spans="1:15" ht="27" customHeight="1">
      <c r="A127" s="261"/>
      <c r="F127" s="361">
        <v>14</v>
      </c>
      <c r="G127" s="450">
        <v>1.0569999999999999</v>
      </c>
      <c r="H127" s="452"/>
      <c r="I127" s="305"/>
      <c r="J127" s="261"/>
      <c r="K127" s="261"/>
      <c r="N127" s="261"/>
      <c r="O127" s="261"/>
    </row>
    <row r="128" spans="1:15" ht="27" customHeight="1">
      <c r="A128" s="261"/>
      <c r="F128" s="361">
        <v>14.5</v>
      </c>
      <c r="G128" s="450">
        <v>1.0589999999999999</v>
      </c>
      <c r="H128" s="452"/>
      <c r="I128" s="305"/>
      <c r="J128" s="261"/>
      <c r="K128" s="261"/>
      <c r="N128" s="261"/>
      <c r="O128" s="261"/>
    </row>
    <row r="129" spans="1:15" ht="27" customHeight="1">
      <c r="A129" s="261"/>
      <c r="F129" s="361">
        <v>15</v>
      </c>
      <c r="G129" s="450">
        <v>1.0609999999999999</v>
      </c>
      <c r="H129" s="452"/>
      <c r="I129" s="305"/>
      <c r="J129" s="261"/>
      <c r="K129" s="261"/>
      <c r="N129" s="261"/>
      <c r="O129" s="261"/>
    </row>
    <row r="130" spans="1:15" ht="27" customHeight="1">
      <c r="A130" s="261"/>
      <c r="F130" s="361">
        <v>15.5</v>
      </c>
      <c r="G130" s="450">
        <v>1.0629999999999999</v>
      </c>
      <c r="H130" s="452"/>
      <c r="I130" s="305"/>
      <c r="J130" s="261"/>
      <c r="K130" s="261"/>
      <c r="N130" s="261"/>
      <c r="O130" s="261"/>
    </row>
    <row r="131" spans="1:15" ht="27" customHeight="1">
      <c r="A131" s="261"/>
      <c r="F131" s="361">
        <v>16</v>
      </c>
      <c r="G131" s="450">
        <v>1.0649999999999999</v>
      </c>
      <c r="H131" s="452"/>
      <c r="I131" s="305"/>
      <c r="J131" s="261"/>
      <c r="K131" s="261"/>
      <c r="N131" s="261"/>
      <c r="O131" s="261"/>
    </row>
    <row r="132" spans="1:15" ht="27" customHeight="1">
      <c r="A132" s="261"/>
      <c r="F132" s="361">
        <v>16.5</v>
      </c>
      <c r="G132" s="450">
        <v>1.0680000000000001</v>
      </c>
      <c r="H132" s="452"/>
      <c r="I132" s="305"/>
      <c r="J132" s="261"/>
      <c r="K132" s="261"/>
      <c r="N132" s="261"/>
      <c r="O132" s="261"/>
    </row>
    <row r="133" spans="1:15" ht="27" customHeight="1">
      <c r="A133" s="261"/>
      <c r="F133" s="361">
        <v>17</v>
      </c>
      <c r="G133" s="450">
        <v>1.07</v>
      </c>
      <c r="H133" s="452"/>
      <c r="I133" s="305"/>
      <c r="J133" s="261"/>
      <c r="K133" s="261"/>
      <c r="N133" s="261"/>
      <c r="O133" s="261"/>
    </row>
    <row r="134" spans="1:15" ht="27" customHeight="1">
      <c r="A134" s="261"/>
      <c r="F134" s="361">
        <v>17.5</v>
      </c>
      <c r="G134" s="450">
        <v>1.0720000000000001</v>
      </c>
      <c r="H134" s="452"/>
      <c r="I134" s="305"/>
      <c r="J134" s="261"/>
      <c r="K134" s="261"/>
      <c r="N134" s="261"/>
      <c r="O134" s="261"/>
    </row>
    <row r="135" spans="1:15" ht="27" customHeight="1">
      <c r="A135" s="261"/>
      <c r="F135" s="361">
        <v>18</v>
      </c>
      <c r="G135" s="450">
        <v>1.0740000000000001</v>
      </c>
      <c r="H135" s="452"/>
      <c r="I135" s="305"/>
      <c r="J135" s="261"/>
      <c r="K135" s="261"/>
      <c r="N135" s="261"/>
      <c r="O135" s="261"/>
    </row>
    <row r="136" spans="1:15" ht="27" customHeight="1">
      <c r="A136" s="261"/>
      <c r="F136" s="361">
        <v>18.5</v>
      </c>
      <c r="G136" s="450">
        <v>1.0760000000000001</v>
      </c>
      <c r="H136" s="452"/>
      <c r="I136" s="305"/>
      <c r="J136" s="261"/>
      <c r="K136" s="261"/>
      <c r="N136" s="261"/>
      <c r="O136" s="261"/>
    </row>
    <row r="137" spans="1:15" ht="27" customHeight="1">
      <c r="A137" s="261"/>
      <c r="F137" s="361">
        <v>19</v>
      </c>
      <c r="G137" s="450">
        <v>1.079</v>
      </c>
      <c r="H137" s="452"/>
      <c r="I137" s="305"/>
      <c r="J137" s="261"/>
      <c r="K137" s="261"/>
      <c r="N137" s="261"/>
      <c r="O137" s="261"/>
    </row>
    <row r="138" spans="1:15" ht="27" customHeight="1">
      <c r="A138" s="261"/>
      <c r="F138" s="361">
        <v>19.5</v>
      </c>
      <c r="G138" s="450">
        <v>1.081</v>
      </c>
      <c r="H138" s="452"/>
      <c r="I138" s="305"/>
      <c r="J138" s="261"/>
      <c r="K138" s="261"/>
      <c r="N138" s="261"/>
      <c r="O138" s="261"/>
    </row>
    <row r="139" spans="1:15" ht="27" customHeight="1">
      <c r="A139" s="261"/>
      <c r="F139" s="361">
        <v>20</v>
      </c>
      <c r="G139" s="450">
        <v>1.083</v>
      </c>
      <c r="H139" s="452"/>
      <c r="I139" s="305"/>
      <c r="J139" s="261"/>
      <c r="K139" s="261"/>
      <c r="N139" s="261"/>
      <c r="O139" s="261"/>
    </row>
    <row r="140" spans="1:15" ht="27" customHeight="1">
      <c r="A140" s="261"/>
      <c r="F140" s="361">
        <v>20.5</v>
      </c>
      <c r="G140" s="450">
        <v>1.085</v>
      </c>
      <c r="H140" s="452"/>
      <c r="I140" s="305"/>
      <c r="J140" s="261"/>
      <c r="K140" s="261"/>
      <c r="N140" s="261"/>
      <c r="O140" s="261"/>
    </row>
    <row r="141" spans="1:15" ht="27" customHeight="1">
      <c r="A141" s="261"/>
      <c r="F141" s="361">
        <v>21</v>
      </c>
      <c r="G141" s="450">
        <v>1.087</v>
      </c>
      <c r="H141" s="452"/>
      <c r="I141" s="305"/>
      <c r="J141" s="261"/>
      <c r="K141" s="261"/>
      <c r="N141" s="261"/>
      <c r="O141" s="261"/>
    </row>
    <row r="142" spans="1:15" ht="27" customHeight="1">
      <c r="A142" s="261"/>
      <c r="F142" s="361">
        <v>21.5</v>
      </c>
      <c r="G142" s="450">
        <v>1.0900000000000001</v>
      </c>
      <c r="H142" s="452"/>
      <c r="I142" s="305"/>
      <c r="J142" s="261"/>
      <c r="K142" s="261"/>
      <c r="N142" s="261"/>
      <c r="O142" s="261"/>
    </row>
    <row r="143" spans="1:15" ht="27" customHeight="1">
      <c r="A143" s="261"/>
      <c r="F143" s="361">
        <v>22</v>
      </c>
      <c r="G143" s="450">
        <v>1.0920000000000001</v>
      </c>
      <c r="H143" s="452"/>
      <c r="I143" s="305"/>
      <c r="J143" s="261"/>
      <c r="K143" s="261"/>
      <c r="N143" s="261"/>
      <c r="O143" s="261"/>
    </row>
    <row r="144" spans="1:15" ht="27" customHeight="1">
      <c r="A144" s="261"/>
      <c r="F144" s="361">
        <v>22.5</v>
      </c>
      <c r="G144" s="450">
        <v>1.0940000000000001</v>
      </c>
      <c r="H144" s="452"/>
      <c r="I144" s="305"/>
      <c r="J144" s="261"/>
      <c r="K144" s="261"/>
      <c r="N144" s="261"/>
      <c r="O144" s="261"/>
    </row>
    <row r="145" spans="1:15" ht="27" customHeight="1">
      <c r="A145" s="261"/>
      <c r="F145" s="361">
        <v>23</v>
      </c>
      <c r="G145" s="450">
        <v>1.0960000000000001</v>
      </c>
      <c r="H145" s="452"/>
      <c r="I145" s="305"/>
      <c r="J145" s="261"/>
      <c r="K145" s="261"/>
      <c r="N145" s="261"/>
      <c r="O145" s="261"/>
    </row>
    <row r="146" spans="1:15" ht="27" customHeight="1">
      <c r="A146" s="261"/>
      <c r="F146" s="361">
        <v>23.5</v>
      </c>
      <c r="G146" s="450">
        <v>1.099</v>
      </c>
      <c r="H146" s="452"/>
      <c r="I146" s="305"/>
      <c r="J146" s="261"/>
      <c r="K146" s="261"/>
      <c r="N146" s="261"/>
      <c r="O146" s="261"/>
    </row>
    <row r="147" spans="1:15" ht="27" customHeight="1">
      <c r="A147" s="261"/>
      <c r="F147" s="361">
        <v>24</v>
      </c>
      <c r="G147" s="450">
        <v>1.101</v>
      </c>
      <c r="H147" s="452"/>
      <c r="I147" s="305"/>
      <c r="J147" s="261"/>
      <c r="K147" s="261"/>
      <c r="N147" s="261"/>
      <c r="O147" s="261"/>
    </row>
    <row r="148" spans="1:15" ht="27" customHeight="1">
      <c r="A148" s="261"/>
      <c r="F148" s="361">
        <v>24.5</v>
      </c>
      <c r="G148" s="450">
        <v>1.103</v>
      </c>
      <c r="H148" s="452"/>
      <c r="I148" s="305"/>
      <c r="J148" s="261"/>
      <c r="K148" s="261"/>
      <c r="N148" s="261"/>
      <c r="O148" s="261"/>
    </row>
    <row r="149" spans="1:15" ht="27" customHeight="1">
      <c r="A149" s="261"/>
      <c r="F149" s="361">
        <v>25</v>
      </c>
      <c r="G149" s="450">
        <v>1.1060000000000001</v>
      </c>
      <c r="H149" s="452"/>
      <c r="I149" s="305"/>
      <c r="J149" s="261"/>
      <c r="K149" s="261"/>
      <c r="N149" s="261"/>
      <c r="O149" s="261"/>
    </row>
    <row r="150" spans="1:15" ht="27" customHeight="1">
      <c r="A150" s="261"/>
      <c r="F150" s="361">
        <v>25.5</v>
      </c>
      <c r="G150" s="450">
        <v>1.1080000000000001</v>
      </c>
      <c r="H150" s="452"/>
      <c r="I150" s="305"/>
      <c r="J150" s="261"/>
      <c r="K150" s="261"/>
      <c r="N150" s="261"/>
      <c r="O150" s="261"/>
    </row>
    <row r="151" spans="1:15" ht="27" customHeight="1">
      <c r="A151" s="261"/>
      <c r="F151" s="361">
        <v>26</v>
      </c>
      <c r="G151" s="450">
        <v>1.1100000000000001</v>
      </c>
      <c r="H151" s="452"/>
      <c r="I151" s="305"/>
      <c r="J151" s="261"/>
      <c r="K151" s="261"/>
      <c r="N151" s="261"/>
      <c r="O151" s="261"/>
    </row>
    <row r="152" spans="1:15" ht="27" customHeight="1">
      <c r="A152" s="261"/>
      <c r="F152" s="361">
        <v>26.5</v>
      </c>
      <c r="G152" s="450">
        <v>1.113</v>
      </c>
      <c r="H152" s="452"/>
      <c r="I152" s="305"/>
      <c r="J152" s="261"/>
      <c r="K152" s="261"/>
      <c r="N152" s="261"/>
      <c r="O152" s="261"/>
    </row>
    <row r="153" spans="1:15" ht="27" customHeight="1">
      <c r="A153" s="261"/>
      <c r="F153" s="361">
        <v>27</v>
      </c>
      <c r="G153" s="450">
        <v>1.115</v>
      </c>
      <c r="H153" s="452"/>
      <c r="I153" s="305"/>
      <c r="J153" s="261"/>
      <c r="K153" s="261"/>
      <c r="N153" s="261"/>
      <c r="O153" s="261"/>
    </row>
    <row r="154" spans="1:15" ht="27" customHeight="1">
      <c r="A154" s="261"/>
      <c r="F154" s="361">
        <v>27.5</v>
      </c>
      <c r="G154" s="450">
        <v>1.117</v>
      </c>
      <c r="H154" s="452"/>
      <c r="I154" s="305"/>
      <c r="J154" s="261"/>
      <c r="K154" s="261"/>
      <c r="N154" s="261"/>
      <c r="O154" s="261"/>
    </row>
    <row r="155" spans="1:15" ht="27" customHeight="1">
      <c r="A155" s="261"/>
      <c r="F155" s="361">
        <v>28</v>
      </c>
      <c r="G155" s="450">
        <v>1.1200000000000001</v>
      </c>
      <c r="H155" s="452"/>
      <c r="I155" s="305"/>
      <c r="J155" s="261"/>
      <c r="K155" s="261"/>
      <c r="N155" s="261"/>
      <c r="O155" s="261"/>
    </row>
    <row r="156" spans="1:15" ht="27" customHeight="1">
      <c r="A156" s="261"/>
      <c r="F156" s="361">
        <v>28.5</v>
      </c>
      <c r="G156" s="450">
        <v>1.1220000000000001</v>
      </c>
      <c r="H156" s="452"/>
      <c r="I156" s="305"/>
      <c r="J156" s="261"/>
      <c r="K156" s="261"/>
      <c r="N156" s="261"/>
      <c r="O156" s="261"/>
    </row>
    <row r="157" spans="1:15" ht="27" customHeight="1">
      <c r="A157" s="261"/>
      <c r="F157" s="361">
        <v>29</v>
      </c>
      <c r="G157" s="450">
        <v>1.1240000000000001</v>
      </c>
      <c r="H157" s="452"/>
      <c r="I157" s="305"/>
      <c r="J157" s="261"/>
      <c r="K157" s="261"/>
      <c r="N157" s="261"/>
      <c r="O157" s="261"/>
    </row>
    <row r="158" spans="1:15" ht="27" customHeight="1">
      <c r="A158" s="261"/>
      <c r="F158" s="361">
        <v>29.5</v>
      </c>
      <c r="G158" s="450">
        <v>1.127</v>
      </c>
      <c r="H158" s="452"/>
      <c r="I158" s="305"/>
      <c r="J158" s="261"/>
      <c r="K158" s="261"/>
      <c r="N158" s="261"/>
      <c r="O158" s="261"/>
    </row>
    <row r="159" spans="1:15" ht="27" customHeight="1">
      <c r="A159" s="261"/>
      <c r="F159" s="361">
        <v>30</v>
      </c>
      <c r="G159" s="450">
        <v>1.129</v>
      </c>
      <c r="H159" s="452"/>
      <c r="I159" s="305"/>
      <c r="J159" s="261"/>
      <c r="K159" s="261"/>
      <c r="N159" s="261"/>
      <c r="O159" s="261"/>
    </row>
    <row r="160" spans="1:15" ht="27" customHeight="1">
      <c r="A160" s="261"/>
      <c r="F160" s="361">
        <v>30.5</v>
      </c>
      <c r="G160" s="450">
        <v>1.1319999999999999</v>
      </c>
      <c r="H160" s="452"/>
      <c r="I160" s="305"/>
      <c r="J160" s="261"/>
      <c r="K160" s="261"/>
      <c r="N160" s="261"/>
      <c r="O160" s="261"/>
    </row>
    <row r="161" spans="1:15" ht="27" customHeight="1">
      <c r="A161" s="261"/>
      <c r="F161" s="361">
        <v>31</v>
      </c>
      <c r="G161" s="450">
        <v>1.1339999999999999</v>
      </c>
      <c r="H161" s="452"/>
      <c r="I161" s="305"/>
      <c r="J161" s="261"/>
      <c r="K161" s="261"/>
      <c r="N161" s="261"/>
      <c r="O161" s="261"/>
    </row>
    <row r="162" spans="1:15" ht="27" customHeight="1">
      <c r="A162" s="261"/>
      <c r="F162" s="361">
        <v>31.5</v>
      </c>
      <c r="G162" s="450">
        <v>1.1359999999999999</v>
      </c>
      <c r="H162" s="452"/>
      <c r="I162" s="305"/>
      <c r="J162" s="261"/>
      <c r="K162" s="261"/>
      <c r="N162" s="261"/>
      <c r="O162" s="261"/>
    </row>
    <row r="163" spans="1:15" ht="27" customHeight="1">
      <c r="A163" s="261"/>
      <c r="F163" s="361">
        <v>32</v>
      </c>
      <c r="G163" s="450">
        <v>1.139</v>
      </c>
      <c r="H163" s="452"/>
      <c r="I163" s="305"/>
      <c r="J163" s="261"/>
      <c r="K163" s="261"/>
      <c r="N163" s="261"/>
      <c r="O163" s="261"/>
    </row>
    <row r="164" spans="1:15" ht="27" customHeight="1">
      <c r="A164" s="261"/>
      <c r="F164" s="361">
        <v>32.5</v>
      </c>
      <c r="G164" s="450">
        <v>1.141</v>
      </c>
      <c r="H164" s="452"/>
      <c r="I164" s="305"/>
      <c r="J164" s="261"/>
      <c r="K164" s="261"/>
      <c r="N164" s="261"/>
      <c r="O164" s="261"/>
    </row>
    <row r="165" spans="1:15" ht="27" customHeight="1">
      <c r="A165" s="261"/>
      <c r="F165" s="361">
        <v>33</v>
      </c>
      <c r="G165" s="450">
        <v>1.1439999999999999</v>
      </c>
      <c r="H165" s="452"/>
      <c r="I165" s="305"/>
      <c r="J165" s="261"/>
      <c r="K165" s="261"/>
      <c r="N165" s="261"/>
      <c r="O165" s="261"/>
    </row>
    <row r="166" spans="1:15" ht="27" customHeight="1">
      <c r="A166" s="261"/>
      <c r="F166" s="361">
        <v>33.5</v>
      </c>
      <c r="G166" s="450">
        <v>1.1459999999999999</v>
      </c>
      <c r="H166" s="452"/>
      <c r="I166" s="305"/>
      <c r="J166" s="261"/>
      <c r="K166" s="261"/>
      <c r="N166" s="261"/>
      <c r="O166" s="261"/>
    </row>
    <row r="167" spans="1:15" ht="27" customHeight="1">
      <c r="A167" s="261"/>
      <c r="F167" s="361">
        <v>34</v>
      </c>
      <c r="G167" s="450">
        <v>1.149</v>
      </c>
      <c r="H167" s="452"/>
      <c r="I167" s="305"/>
      <c r="J167" s="261"/>
      <c r="K167" s="261"/>
      <c r="N167" s="261"/>
      <c r="O167" s="261"/>
    </row>
    <row r="168" spans="1:15" ht="27" customHeight="1">
      <c r="A168" s="261"/>
      <c r="F168" s="361">
        <v>34.5</v>
      </c>
      <c r="G168" s="450">
        <v>1.151</v>
      </c>
      <c r="H168" s="452"/>
      <c r="I168" s="305"/>
      <c r="J168" s="261"/>
      <c r="K168" s="261"/>
      <c r="N168" s="261"/>
      <c r="O168" s="261"/>
    </row>
    <row r="169" spans="1:15" ht="27" customHeight="1">
      <c r="A169" s="261"/>
      <c r="F169" s="361">
        <v>35</v>
      </c>
      <c r="G169" s="450">
        <v>1.1539999999999999</v>
      </c>
      <c r="H169" s="452"/>
      <c r="I169" s="305"/>
      <c r="J169" s="261"/>
      <c r="K169" s="261"/>
      <c r="N169" s="261"/>
      <c r="O169" s="261"/>
    </row>
    <row r="170" spans="1:15" ht="27" customHeight="1">
      <c r="A170" s="261"/>
      <c r="F170" s="361">
        <v>35.5</v>
      </c>
      <c r="G170" s="450">
        <v>1.1559999999999999</v>
      </c>
      <c r="H170" s="452"/>
      <c r="I170" s="305"/>
      <c r="J170" s="261"/>
      <c r="K170" s="261"/>
      <c r="N170" s="261"/>
      <c r="O170" s="261"/>
    </row>
    <row r="171" spans="1:15" ht="27" customHeight="1">
      <c r="A171" s="261"/>
      <c r="F171" s="361">
        <v>36</v>
      </c>
      <c r="G171" s="450">
        <v>1.159</v>
      </c>
      <c r="H171" s="452"/>
      <c r="I171" s="305"/>
      <c r="J171" s="261"/>
      <c r="K171" s="261"/>
      <c r="N171" s="261"/>
      <c r="O171" s="261"/>
    </row>
    <row r="172" spans="1:15" ht="27" customHeight="1">
      <c r="A172" s="261"/>
      <c r="F172" s="361">
        <v>36.5</v>
      </c>
      <c r="G172" s="450">
        <v>1.161</v>
      </c>
      <c r="H172" s="452"/>
      <c r="I172" s="305"/>
      <c r="J172" s="261"/>
      <c r="K172" s="261"/>
      <c r="N172" s="261"/>
      <c r="O172" s="261"/>
    </row>
    <row r="173" spans="1:15" ht="27" customHeight="1">
      <c r="A173" s="261"/>
      <c r="F173" s="361">
        <v>37</v>
      </c>
      <c r="G173" s="450">
        <v>1.1639999999999999</v>
      </c>
      <c r="H173" s="452"/>
      <c r="I173" s="305"/>
      <c r="J173" s="261"/>
      <c r="K173" s="261"/>
      <c r="N173" s="261"/>
      <c r="O173" s="261"/>
    </row>
    <row r="174" spans="1:15" ht="27" customHeight="1">
      <c r="A174" s="261"/>
      <c r="F174" s="361">
        <v>37.5</v>
      </c>
      <c r="G174" s="450">
        <v>1.1659999999999999</v>
      </c>
      <c r="H174" s="452"/>
      <c r="I174" s="305"/>
      <c r="J174" s="261"/>
      <c r="K174" s="261"/>
      <c r="N174" s="261"/>
      <c r="O174" s="261"/>
    </row>
    <row r="175" spans="1:15" ht="27" customHeight="1">
      <c r="A175" s="261"/>
      <c r="F175" s="361">
        <v>38</v>
      </c>
      <c r="G175" s="450">
        <v>1.169</v>
      </c>
      <c r="H175" s="452"/>
      <c r="I175" s="305"/>
      <c r="J175" s="261"/>
      <c r="K175" s="261"/>
      <c r="N175" s="261"/>
      <c r="O175" s="261"/>
    </row>
    <row r="176" spans="1:15" ht="27" customHeight="1">
      <c r="A176" s="261"/>
      <c r="F176" s="361">
        <v>38.5</v>
      </c>
      <c r="G176" s="450">
        <v>1.171</v>
      </c>
      <c r="H176" s="452"/>
      <c r="I176" s="305"/>
      <c r="J176" s="261"/>
      <c r="K176" s="261"/>
      <c r="N176" s="261"/>
      <c r="O176" s="261"/>
    </row>
    <row r="177" spans="1:15" ht="27" customHeight="1">
      <c r="A177" s="261"/>
      <c r="F177" s="361">
        <v>39</v>
      </c>
      <c r="G177" s="450">
        <v>1.1739999999999999</v>
      </c>
      <c r="H177" s="452"/>
      <c r="I177" s="305"/>
      <c r="J177" s="261"/>
      <c r="K177" s="261"/>
      <c r="N177" s="261"/>
      <c r="O177" s="261"/>
    </row>
    <row r="178" spans="1:15" ht="27" customHeight="1">
      <c r="A178" s="261"/>
      <c r="F178" s="361">
        <v>39.5</v>
      </c>
      <c r="G178" s="450">
        <v>1.1759999999999999</v>
      </c>
      <c r="H178" s="452"/>
      <c r="I178" s="305"/>
      <c r="J178" s="261"/>
      <c r="K178" s="261"/>
      <c r="N178" s="261"/>
      <c r="O178" s="261"/>
    </row>
    <row r="179" spans="1:15" ht="27" customHeight="1">
      <c r="A179" s="261"/>
      <c r="F179" s="361">
        <v>40</v>
      </c>
      <c r="G179" s="450">
        <v>1.179</v>
      </c>
      <c r="H179" s="452"/>
      <c r="I179" s="305"/>
      <c r="J179" s="261"/>
      <c r="K179" s="261"/>
      <c r="N179" s="261"/>
      <c r="O179" s="261"/>
    </row>
    <row r="180" spans="1:15" ht="27" customHeight="1">
      <c r="E180" s="462"/>
    </row>
  </sheetData>
  <sheetProtection selectLockedCells="1"/>
  <mergeCells count="4">
    <mergeCell ref="B56:E56"/>
    <mergeCell ref="B57:D57"/>
    <mergeCell ref="F98:G98"/>
    <mergeCell ref="H4:I4"/>
  </mergeCells>
  <conditionalFormatting sqref="E57">
    <cfRule type="expression" dxfId="23" priority="10">
      <formula>$E$57=0</formula>
    </cfRule>
  </conditionalFormatting>
  <conditionalFormatting sqref="E37">
    <cfRule type="expression" dxfId="22" priority="9">
      <formula>$D$37=0</formula>
    </cfRule>
  </conditionalFormatting>
  <conditionalFormatting sqref="E38">
    <cfRule type="expression" dxfId="21" priority="8">
      <formula>$D$38=0</formula>
    </cfRule>
  </conditionalFormatting>
  <conditionalFormatting sqref="E39">
    <cfRule type="expression" dxfId="20" priority="7">
      <formula>$D$39=0</formula>
    </cfRule>
  </conditionalFormatting>
  <conditionalFormatting sqref="E49">
    <cfRule type="expression" dxfId="19" priority="3">
      <formula>$E$49=0</formula>
    </cfRule>
  </conditionalFormatting>
  <conditionalFormatting sqref="E82">
    <cfRule type="expression" dxfId="18" priority="2">
      <formula>$E$82=0</formula>
    </cfRule>
  </conditionalFormatting>
  <conditionalFormatting sqref="E83">
    <cfRule type="expression" dxfId="17" priority="1">
      <formula>$E$83=0</formula>
    </cfRule>
  </conditionalFormatting>
  <hyperlinks>
    <hyperlink ref="B71" r:id="rId1"/>
    <hyperlink ref="B70" r:id="rId2"/>
    <hyperlink ref="B22" r:id="rId3" display="Капачки"/>
    <hyperlink ref="B23" r:id="rId4"/>
    <hyperlink ref="H22" r:id="rId5"/>
    <hyperlink ref="B19" r:id="rId6" display="Safbrew WB-06"/>
    <hyperlink ref="B12" r:id="rId7"/>
    <hyperlink ref="B13" r:id="rId8" display="Wheat Malt"/>
    <hyperlink ref="B16" r:id="rId9"/>
    <hyperlink ref="B2" r:id="rId10" display="Wit bier"/>
  </hyperlinks>
  <printOptions horizontalCentered="1"/>
  <pageMargins left="0.23622047244094491" right="0.23622047244094491" top="0.23622047244094491" bottom="0.11811023622047245" header="0.31496062992125984" footer="0.31496062992125984"/>
  <pageSetup paperSize="9" orientation="portrait" r:id="rId11"/>
</worksheet>
</file>

<file path=xl/worksheets/sheet11.xml><?xml version="1.0" encoding="utf-8"?>
<worksheet xmlns="http://schemas.openxmlformats.org/spreadsheetml/2006/main" xmlns:r="http://schemas.openxmlformats.org/officeDocument/2006/relationships">
  <dimension ref="A1:I185"/>
  <sheetViews>
    <sheetView topLeftCell="A40" workbookViewId="0">
      <selection activeCell="A58" sqref="A58:XFD58"/>
    </sheetView>
  </sheetViews>
  <sheetFormatPr defaultRowHeight="27" customHeight="1"/>
  <cols>
    <col min="1" max="1" width="3.7109375" style="243" customWidth="1"/>
    <col min="2" max="2" width="55.7109375" style="261" customWidth="1"/>
    <col min="3" max="4" width="12.7109375" style="261" customWidth="1"/>
    <col min="5" max="5" width="12.7109375" style="305" customWidth="1"/>
    <col min="6" max="6" width="12.7109375" style="261" customWidth="1"/>
    <col min="7" max="7" width="11.7109375" style="261" customWidth="1"/>
    <col min="8" max="8" width="8.7109375" style="270" customWidth="1"/>
    <col min="9" max="11" width="8.7109375" style="261" customWidth="1"/>
    <col min="12" max="16384" width="9.140625" style="261"/>
  </cols>
  <sheetData>
    <row r="1" spans="1:9" s="244" customFormat="1" ht="27" customHeight="1">
      <c r="A1" s="243"/>
      <c r="C1" s="245" t="s">
        <v>221</v>
      </c>
      <c r="D1" s="245" t="s">
        <v>349</v>
      </c>
      <c r="E1" s="245" t="s">
        <v>144</v>
      </c>
      <c r="H1" s="246"/>
    </row>
    <row r="2" spans="1:9" s="244" customFormat="1" ht="27" customHeight="1">
      <c r="A2" s="243"/>
      <c r="B2" s="364" t="s">
        <v>611</v>
      </c>
      <c r="C2" s="245" t="s">
        <v>576</v>
      </c>
      <c r="D2" s="248">
        <v>5</v>
      </c>
      <c r="E2" s="249">
        <v>42624</v>
      </c>
    </row>
    <row r="3" spans="1:9" s="244" customFormat="1" ht="27" customHeight="1">
      <c r="A3" s="243"/>
      <c r="B3" s="250" t="s">
        <v>434</v>
      </c>
      <c r="C3" s="245"/>
      <c r="D3" s="248"/>
      <c r="E3" s="249"/>
    </row>
    <row r="4" spans="1:9" s="244" customFormat="1" ht="27" customHeight="1">
      <c r="A4" s="243"/>
      <c r="B4" s="250" t="s">
        <v>342</v>
      </c>
      <c r="C4" s="251" t="s">
        <v>95</v>
      </c>
      <c r="D4" s="251" t="s">
        <v>385</v>
      </c>
      <c r="E4" s="251" t="s">
        <v>387</v>
      </c>
      <c r="F4" s="251" t="s">
        <v>528</v>
      </c>
    </row>
    <row r="5" spans="1:9" s="244" customFormat="1" ht="27" customHeight="1">
      <c r="A5" s="243"/>
      <c r="B5" s="250" t="s">
        <v>569</v>
      </c>
      <c r="C5" s="384">
        <v>5</v>
      </c>
      <c r="D5" s="407">
        <f>C5*6.6</f>
        <v>33</v>
      </c>
      <c r="E5" s="407">
        <f>C5*5.4</f>
        <v>27</v>
      </c>
      <c r="F5" s="451">
        <f>E5*0.93*2</f>
        <v>50.220000000000006</v>
      </c>
    </row>
    <row r="6" spans="1:9" s="244" customFormat="1" ht="27" customHeight="1">
      <c r="A6" s="243"/>
      <c r="B6" s="250" t="s">
        <v>347</v>
      </c>
      <c r="C6" s="255"/>
      <c r="D6" s="255"/>
      <c r="E6" s="290"/>
      <c r="F6" s="255"/>
    </row>
    <row r="7" spans="1:9" s="244" customFormat="1" ht="27" customHeight="1">
      <c r="A7" s="243"/>
      <c r="B7" s="250" t="s">
        <v>352</v>
      </c>
      <c r="C7" s="251" t="s">
        <v>564</v>
      </c>
      <c r="D7" s="251" t="s">
        <v>46</v>
      </c>
      <c r="E7" s="249"/>
      <c r="F7" s="251" t="s">
        <v>541</v>
      </c>
    </row>
    <row r="8" spans="1:9" s="244" customFormat="1" ht="27" customHeight="1">
      <c r="A8" s="243"/>
      <c r="B8" s="250" t="s">
        <v>346</v>
      </c>
      <c r="C8" s="256">
        <f>SUM(F11:F27)</f>
        <v>31.175710000000002</v>
      </c>
      <c r="D8" s="257">
        <f>IF(F8=0," ",C8/F8)</f>
        <v>0.62351420000000002</v>
      </c>
      <c r="E8" s="249"/>
      <c r="F8" s="467">
        <v>50</v>
      </c>
    </row>
    <row r="9" spans="1:9" s="244" customFormat="1" ht="27" customHeight="1">
      <c r="A9" s="243"/>
      <c r="B9" s="250" t="s">
        <v>350</v>
      </c>
      <c r="C9" s="245"/>
      <c r="D9" s="248"/>
      <c r="E9" s="249"/>
    </row>
    <row r="10" spans="1:9" s="244" customFormat="1" ht="27" customHeight="1">
      <c r="A10" s="243"/>
      <c r="B10" s="258"/>
      <c r="C10" s="245"/>
      <c r="D10" s="248"/>
      <c r="E10" s="249"/>
    </row>
    <row r="11" spans="1:9" s="244" customFormat="1" ht="27" customHeight="1">
      <c r="A11" s="243"/>
      <c r="B11" s="259" t="s">
        <v>95</v>
      </c>
      <c r="C11" s="260" t="s">
        <v>42</v>
      </c>
      <c r="D11" s="260" t="s">
        <v>354</v>
      </c>
      <c r="E11" s="260" t="s">
        <v>41</v>
      </c>
      <c r="F11" s="245" t="s">
        <v>41</v>
      </c>
      <c r="G11" s="261"/>
      <c r="H11" s="247"/>
      <c r="I11" s="264"/>
    </row>
    <row r="12" spans="1:9" ht="27" customHeight="1">
      <c r="A12" s="243">
        <v>1</v>
      </c>
      <c r="B12" s="265" t="s">
        <v>409</v>
      </c>
      <c r="C12" s="402">
        <f>C5*D12</f>
        <v>4.8</v>
      </c>
      <c r="D12" s="411">
        <v>0.96</v>
      </c>
      <c r="E12" s="363">
        <v>2.1</v>
      </c>
      <c r="F12" s="269">
        <f>C12*E12</f>
        <v>10.08</v>
      </c>
      <c r="H12" s="272"/>
      <c r="I12" s="271"/>
    </row>
    <row r="13" spans="1:9" ht="27" customHeight="1">
      <c r="A13" s="243">
        <v>2</v>
      </c>
      <c r="B13" s="265" t="s">
        <v>610</v>
      </c>
      <c r="C13" s="404">
        <f>C5*D13</f>
        <v>0.2</v>
      </c>
      <c r="D13" s="413">
        <v>0.04</v>
      </c>
      <c r="E13" s="501">
        <v>2.5499999999999998</v>
      </c>
      <c r="F13" s="274">
        <f>C13*E13</f>
        <v>0.51</v>
      </c>
      <c r="H13" s="264"/>
      <c r="I13" s="270"/>
    </row>
    <row r="14" spans="1:9" s="255" customFormat="1" ht="27" customHeight="1">
      <c r="A14" s="275"/>
      <c r="B14" s="261"/>
      <c r="C14" s="276"/>
      <c r="D14" s="277"/>
      <c r="E14" s="278"/>
      <c r="F14" s="279"/>
      <c r="I14" s="264"/>
    </row>
    <row r="15" spans="1:9" s="255" customFormat="1" ht="27" customHeight="1">
      <c r="A15" s="275"/>
      <c r="B15" s="259" t="s">
        <v>337</v>
      </c>
      <c r="C15" s="260" t="s">
        <v>216</v>
      </c>
      <c r="D15" s="280" t="s">
        <v>335</v>
      </c>
      <c r="E15" s="281" t="s">
        <v>336</v>
      </c>
      <c r="F15" s="279"/>
      <c r="I15" s="264"/>
    </row>
    <row r="16" spans="1:9" ht="27" customHeight="1">
      <c r="A16" s="243">
        <v>4</v>
      </c>
      <c r="B16" s="265" t="s">
        <v>482</v>
      </c>
      <c r="C16" s="396">
        <f>D16*D5</f>
        <v>16.5</v>
      </c>
      <c r="D16" s="503">
        <v>0.5</v>
      </c>
      <c r="E16" s="504">
        <v>49.5</v>
      </c>
      <c r="F16" s="269">
        <f>(C16/1000)*E16</f>
        <v>0.81675000000000009</v>
      </c>
      <c r="H16" s="272"/>
      <c r="I16" s="264"/>
    </row>
    <row r="17" spans="1:9" ht="27" customHeight="1">
      <c r="A17" s="243">
        <v>5</v>
      </c>
      <c r="B17" s="265" t="s">
        <v>592</v>
      </c>
      <c r="C17" s="398">
        <f>SUM(C47:C49)</f>
        <v>39.6</v>
      </c>
      <c r="D17" s="502">
        <v>1</v>
      </c>
      <c r="E17" s="363">
        <v>58</v>
      </c>
      <c r="F17" s="274">
        <f>(C17/1000)*E17</f>
        <v>2.2968000000000002</v>
      </c>
      <c r="H17" s="272"/>
      <c r="I17" s="264"/>
    </row>
    <row r="18" spans="1:9" s="255" customFormat="1" ht="27" customHeight="1">
      <c r="A18" s="275"/>
      <c r="B18" s="261"/>
      <c r="C18" s="277"/>
      <c r="D18" s="276"/>
      <c r="E18" s="278"/>
      <c r="F18" s="279"/>
      <c r="I18" s="264"/>
    </row>
    <row r="19" spans="1:9" s="255" customFormat="1" ht="27" customHeight="1">
      <c r="A19" s="275"/>
      <c r="B19" s="259" t="s">
        <v>355</v>
      </c>
      <c r="C19" s="280"/>
      <c r="D19" s="532"/>
      <c r="E19" s="281" t="s">
        <v>448</v>
      </c>
      <c r="F19" s="279"/>
      <c r="I19" s="264"/>
    </row>
    <row r="20" spans="1:9" ht="27" customHeight="1">
      <c r="A20" s="243">
        <v>6</v>
      </c>
      <c r="B20" s="535" t="s">
        <v>619</v>
      </c>
      <c r="C20" s="287"/>
      <c r="D20" s="431">
        <v>1</v>
      </c>
      <c r="E20" s="363">
        <v>4.0999999999999996</v>
      </c>
      <c r="F20" s="269">
        <f>D20*E20</f>
        <v>4.0999999999999996</v>
      </c>
      <c r="H20" s="290"/>
      <c r="I20" s="290"/>
    </row>
    <row r="21" spans="1:9" ht="27" customHeight="1">
      <c r="A21" s="243">
        <v>7</v>
      </c>
      <c r="B21" s="265" t="s">
        <v>25</v>
      </c>
      <c r="C21" s="267"/>
      <c r="D21" s="466">
        <f>F5+2</f>
        <v>52.220000000000006</v>
      </c>
      <c r="E21" s="363">
        <v>2.8000000000000001E-2</v>
      </c>
      <c r="F21" s="284">
        <f>D21*E21</f>
        <v>1.4621600000000001</v>
      </c>
      <c r="H21" s="264"/>
      <c r="I21" s="270"/>
    </row>
    <row r="22" spans="1:9" ht="27" customHeight="1">
      <c r="A22" s="243">
        <v>8</v>
      </c>
      <c r="B22" s="265" t="s">
        <v>356</v>
      </c>
      <c r="D22" s="433">
        <f>C5</f>
        <v>5</v>
      </c>
      <c r="E22" s="363">
        <v>0.25</v>
      </c>
      <c r="F22" s="284">
        <f>D22*E22</f>
        <v>1.25</v>
      </c>
      <c r="H22" s="261"/>
    </row>
    <row r="23" spans="1:9" ht="27" customHeight="1">
      <c r="A23" s="243">
        <v>9</v>
      </c>
      <c r="B23" s="528" t="s">
        <v>403</v>
      </c>
      <c r="D23" s="533">
        <v>1</v>
      </c>
      <c r="E23" s="363">
        <v>1.3</v>
      </c>
      <c r="F23" s="274">
        <f>D23*E23</f>
        <v>1.3</v>
      </c>
      <c r="H23" s="261"/>
    </row>
    <row r="24" spans="1:9" ht="27" customHeight="1">
      <c r="E24" s="268"/>
      <c r="H24" s="261"/>
    </row>
    <row r="25" spans="1:9" ht="27" customHeight="1">
      <c r="B25" s="493" t="s">
        <v>43</v>
      </c>
      <c r="E25" s="268"/>
      <c r="F25" s="294">
        <v>7.36</v>
      </c>
      <c r="H25" s="261"/>
    </row>
    <row r="26" spans="1:9" ht="27" customHeight="1">
      <c r="B26" s="261" t="s">
        <v>52</v>
      </c>
      <c r="E26" s="268"/>
      <c r="F26" s="295"/>
      <c r="H26" s="261"/>
    </row>
    <row r="27" spans="1:9" ht="27" customHeight="1">
      <c r="B27" s="490" t="s">
        <v>565</v>
      </c>
      <c r="C27" s="490"/>
      <c r="D27" s="490"/>
      <c r="E27" s="491"/>
      <c r="F27" s="296">
        <v>2</v>
      </c>
      <c r="H27" s="261"/>
    </row>
    <row r="28" spans="1:9" ht="27" customHeight="1">
      <c r="D28" s="297"/>
      <c r="F28" s="297"/>
      <c r="H28" s="261"/>
    </row>
    <row r="29" spans="1:9" ht="27" customHeight="1">
      <c r="B29" s="299"/>
      <c r="C29" s="373"/>
      <c r="D29" s="297"/>
      <c r="H29" s="261"/>
    </row>
    <row r="30" spans="1:9" ht="27" customHeight="1">
      <c r="A30" s="261"/>
      <c r="B30" s="299" t="s">
        <v>582</v>
      </c>
      <c r="C30" s="538" t="s">
        <v>441</v>
      </c>
      <c r="D30" s="448">
        <v>42624</v>
      </c>
      <c r="E30" s="449">
        <v>0.48749999999999999</v>
      </c>
      <c r="H30" s="261"/>
    </row>
    <row r="31" spans="1:9" ht="27" customHeight="1">
      <c r="A31" s="261"/>
      <c r="B31" s="261" t="s">
        <v>527</v>
      </c>
      <c r="C31" s="409" t="s">
        <v>99</v>
      </c>
      <c r="D31" s="409" t="s">
        <v>100</v>
      </c>
      <c r="E31" s="409" t="s">
        <v>101</v>
      </c>
      <c r="H31" s="261"/>
    </row>
    <row r="32" spans="1:9" ht="27" customHeight="1">
      <c r="B32" s="447" t="s">
        <v>533</v>
      </c>
      <c r="C32" s="407">
        <f>C5*3</f>
        <v>15</v>
      </c>
      <c r="D32" s="407">
        <f>C5*6</f>
        <v>30</v>
      </c>
      <c r="E32" s="253">
        <f>SUM(C32:D32)</f>
        <v>45</v>
      </c>
      <c r="F32" s="270"/>
      <c r="H32" s="261"/>
    </row>
    <row r="33" spans="1:8" s="325" customFormat="1" ht="27" customHeight="1">
      <c r="A33" s="434">
        <v>1</v>
      </c>
      <c r="B33" s="325" t="s">
        <v>543</v>
      </c>
      <c r="C33" s="521"/>
      <c r="E33" s="436"/>
      <c r="F33" s="437"/>
    </row>
    <row r="34" spans="1:8" ht="27" customHeight="1">
      <c r="A34" s="434">
        <v>2</v>
      </c>
      <c r="B34" s="265" t="s">
        <v>535</v>
      </c>
      <c r="C34" s="419">
        <v>1.0416666666666666E-2</v>
      </c>
      <c r="D34" s="420">
        <v>0.50069444444444444</v>
      </c>
      <c r="E34" s="421">
        <f>IF(D34=0," ",D34+C34)</f>
        <v>0.51111111111111107</v>
      </c>
    </row>
    <row r="35" spans="1:8" ht="27" customHeight="1">
      <c r="A35" s="434">
        <v>3</v>
      </c>
      <c r="B35" s="261" t="s">
        <v>607</v>
      </c>
      <c r="C35" s="419">
        <v>2.7777777777777776E-2</v>
      </c>
      <c r="D35" s="420">
        <v>0.52083333333333337</v>
      </c>
      <c r="E35" s="421">
        <f>IF(D35=0," ",D35+C35)</f>
        <v>0.54861111111111116</v>
      </c>
    </row>
    <row r="36" spans="1:8" ht="27" customHeight="1">
      <c r="A36" s="434">
        <v>4</v>
      </c>
      <c r="B36" s="261" t="s">
        <v>365</v>
      </c>
      <c r="C36" s="419">
        <v>1.0416666666666666E-2</v>
      </c>
      <c r="D36" s="420">
        <v>0.55694444444444446</v>
      </c>
      <c r="E36" s="421">
        <f>IF(D36=0," ",D36+C36)</f>
        <v>0.56736111111111109</v>
      </c>
    </row>
    <row r="37" spans="1:8" ht="27" customHeight="1">
      <c r="A37" s="434">
        <v>5</v>
      </c>
      <c r="B37" s="261" t="s">
        <v>536</v>
      </c>
    </row>
    <row r="38" spans="1:8" ht="27" customHeight="1">
      <c r="A38" s="434">
        <v>6</v>
      </c>
      <c r="B38" s="261" t="s">
        <v>578</v>
      </c>
      <c r="E38" s="261"/>
    </row>
    <row r="39" spans="1:8" ht="20.100000000000001" customHeight="1">
      <c r="A39" s="434"/>
      <c r="D39" s="408" t="s">
        <v>584</v>
      </c>
      <c r="E39" s="409" t="s">
        <v>585</v>
      </c>
    </row>
    <row r="40" spans="1:8" ht="27" customHeight="1">
      <c r="A40" s="434">
        <v>7</v>
      </c>
      <c r="B40" s="301" t="s">
        <v>625</v>
      </c>
      <c r="D40" s="420">
        <v>0.57638888888888895</v>
      </c>
      <c r="E40" s="420">
        <v>0.60069444444444442</v>
      </c>
    </row>
    <row r="41" spans="1:8" ht="27" customHeight="1">
      <c r="A41" s="434">
        <v>8</v>
      </c>
      <c r="B41" s="244" t="s">
        <v>620</v>
      </c>
      <c r="C41" s="536">
        <v>24</v>
      </c>
      <c r="D41" s="417">
        <v>1.5</v>
      </c>
      <c r="E41" s="417">
        <v>14</v>
      </c>
    </row>
    <row r="42" spans="1:8" ht="27" customHeight="1">
      <c r="A42" s="434">
        <v>9</v>
      </c>
      <c r="B42" s="244" t="s">
        <v>605</v>
      </c>
      <c r="C42" s="537" t="s">
        <v>606</v>
      </c>
      <c r="D42" s="416">
        <v>0</v>
      </c>
      <c r="E42" s="417">
        <v>0</v>
      </c>
      <c r="H42" s="261"/>
    </row>
    <row r="43" spans="1:8" ht="27" customHeight="1">
      <c r="A43" s="434">
        <v>10</v>
      </c>
      <c r="B43" s="515" t="s">
        <v>621</v>
      </c>
      <c r="C43" s="516"/>
      <c r="D43" s="519" t="s">
        <v>581</v>
      </c>
      <c r="E43" s="460">
        <v>33</v>
      </c>
    </row>
    <row r="44" spans="1:8" ht="20.100000000000001" customHeight="1">
      <c r="A44" s="434"/>
      <c r="C44" s="408"/>
      <c r="D44" s="409"/>
    </row>
    <row r="45" spans="1:8" ht="27" customHeight="1">
      <c r="A45" s="434">
        <v>12</v>
      </c>
      <c r="B45" s="301" t="s">
        <v>380</v>
      </c>
      <c r="C45" s="538" t="s">
        <v>577</v>
      </c>
      <c r="D45" s="510">
        <v>4.8611111111111112E-2</v>
      </c>
      <c r="E45" s="509">
        <v>0.61111111111111105</v>
      </c>
      <c r="F45" s="261" t="s">
        <v>587</v>
      </c>
    </row>
    <row r="46" spans="1:8" ht="27" customHeight="1">
      <c r="A46" s="434">
        <v>13</v>
      </c>
      <c r="B46" s="317" t="str">
        <f>B16</f>
        <v>MAGNUM   (горчив:  12,7%)</v>
      </c>
      <c r="C46" s="396">
        <f>C16</f>
        <v>16.5</v>
      </c>
      <c r="D46" s="511">
        <v>4.1666666666666664E-2</v>
      </c>
      <c r="E46" s="508">
        <f>IF(E45=0," ",E50-D46)</f>
        <v>0.61805555555555558</v>
      </c>
    </row>
    <row r="47" spans="1:8" ht="27" customHeight="1">
      <c r="A47" s="434">
        <v>14</v>
      </c>
      <c r="B47" s="522" t="str">
        <f>B17</f>
        <v>Жатец  (ароматен:  3,4%)</v>
      </c>
      <c r="C47" s="397">
        <f>F47*D5</f>
        <v>13.200000000000001</v>
      </c>
      <c r="D47" s="512">
        <v>2.0833333333333332E-2</v>
      </c>
      <c r="E47" s="512">
        <f>IF(E46=0," ",E49-D47)</f>
        <v>0.63888888888888884</v>
      </c>
      <c r="F47" s="503">
        <v>0.4</v>
      </c>
    </row>
    <row r="48" spans="1:8" ht="27" customHeight="1">
      <c r="A48" s="434">
        <v>14</v>
      </c>
      <c r="B48" s="522" t="str">
        <f>B17</f>
        <v>Жатец  (ароматен:  3,4%)</v>
      </c>
      <c r="C48" s="397">
        <f>F48*D5</f>
        <v>13.200000000000001</v>
      </c>
      <c r="D48" s="512">
        <v>1.0416666666666666E-2</v>
      </c>
      <c r="E48" s="512">
        <f>IF(E45=0," ",E50-D48)</f>
        <v>0.64930555555555558</v>
      </c>
      <c r="F48" s="505">
        <v>0.4</v>
      </c>
    </row>
    <row r="49" spans="1:8" ht="27" customHeight="1">
      <c r="A49" s="434">
        <v>15</v>
      </c>
      <c r="B49" s="522" t="str">
        <f>B17</f>
        <v>Жатец  (ароматен:  3,4%)</v>
      </c>
      <c r="C49" s="398">
        <f>F49*D5</f>
        <v>13.200000000000001</v>
      </c>
      <c r="D49" s="513">
        <v>0</v>
      </c>
      <c r="E49" s="512">
        <f>IF(E45=0," ",E50-D49)</f>
        <v>0.65972222222222221</v>
      </c>
      <c r="F49" s="502">
        <v>0.4</v>
      </c>
    </row>
    <row r="50" spans="1:8" ht="27" customHeight="1">
      <c r="A50" s="434">
        <v>16</v>
      </c>
      <c r="B50" s="319" t="s">
        <v>340</v>
      </c>
      <c r="D50" s="538" t="s">
        <v>497</v>
      </c>
      <c r="E50" s="419">
        <f>IF(E45=0," ",E45+D45)</f>
        <v>0.65972222222222221</v>
      </c>
      <c r="F50" s="322"/>
      <c r="H50" s="261"/>
    </row>
    <row r="51" spans="1:8" ht="20.100000000000001" customHeight="1">
      <c r="A51" s="434"/>
      <c r="C51" s="408"/>
      <c r="D51" s="409"/>
    </row>
    <row r="52" spans="1:8" ht="27" customHeight="1">
      <c r="A52" s="434">
        <v>17</v>
      </c>
      <c r="B52" s="441" t="s">
        <v>622</v>
      </c>
      <c r="C52" s="424">
        <v>0.66666666666666663</v>
      </c>
      <c r="D52" s="424">
        <v>0.75</v>
      </c>
      <c r="E52" s="478">
        <f>IF(C52=0," ",(D52-C52))</f>
        <v>8.333333333333337E-2</v>
      </c>
      <c r="F52" s="305"/>
      <c r="H52" s="261"/>
    </row>
    <row r="53" spans="1:8" ht="27" customHeight="1">
      <c r="A53" s="434">
        <v>18</v>
      </c>
      <c r="B53" s="531" t="s">
        <v>595</v>
      </c>
      <c r="C53" s="314"/>
      <c r="D53" s="314"/>
      <c r="E53" s="457">
        <v>27</v>
      </c>
      <c r="H53" s="261"/>
    </row>
    <row r="54" spans="1:8" ht="27" customHeight="1">
      <c r="A54" s="434">
        <v>19</v>
      </c>
      <c r="B54" s="530" t="s">
        <v>624</v>
      </c>
      <c r="C54" s="494"/>
      <c r="D54" s="494"/>
      <c r="E54" s="417">
        <v>13</v>
      </c>
      <c r="F54" s="305"/>
      <c r="H54" s="261"/>
    </row>
    <row r="55" spans="1:8" ht="27" customHeight="1">
      <c r="A55" s="434">
        <v>20</v>
      </c>
      <c r="B55" s="261" t="s">
        <v>324</v>
      </c>
      <c r="E55" s="261"/>
      <c r="H55" s="261"/>
    </row>
    <row r="56" spans="1:8" ht="27" customHeight="1">
      <c r="A56" s="434">
        <v>21</v>
      </c>
      <c r="B56" s="261" t="s">
        <v>23</v>
      </c>
      <c r="D56" s="538" t="s">
        <v>623</v>
      </c>
      <c r="E56" s="449">
        <v>0.78472222222222221</v>
      </c>
      <c r="H56" s="261"/>
    </row>
    <row r="57" spans="1:8" ht="27" customHeight="1">
      <c r="A57" s="434"/>
      <c r="B57" s="336"/>
      <c r="D57" s="538"/>
      <c r="E57" s="539"/>
      <c r="H57" s="261"/>
    </row>
    <row r="58" spans="1:8" ht="27" customHeight="1">
      <c r="A58" s="434">
        <v>22</v>
      </c>
      <c r="B58" s="708" t="s">
        <v>586</v>
      </c>
      <c r="C58" s="708"/>
      <c r="D58" s="708"/>
      <c r="E58" s="708"/>
      <c r="F58" s="305"/>
      <c r="H58" s="261"/>
    </row>
    <row r="59" spans="1:8" s="317" customFormat="1" ht="27" customHeight="1">
      <c r="A59" s="434">
        <v>23</v>
      </c>
      <c r="B59" s="709" t="s">
        <v>597</v>
      </c>
      <c r="C59" s="709"/>
      <c r="D59" s="710"/>
      <c r="E59" s="417">
        <v>3.1</v>
      </c>
      <c r="F59" s="324"/>
    </row>
    <row r="60" spans="1:8" s="317" customFormat="1" ht="27" customHeight="1">
      <c r="A60" s="434">
        <v>24</v>
      </c>
      <c r="B60" s="530" t="s">
        <v>598</v>
      </c>
      <c r="D60" s="538" t="s">
        <v>515</v>
      </c>
      <c r="E60" s="448"/>
      <c r="F60" s="324"/>
    </row>
    <row r="65" spans="1:8" s="298" customFormat="1" ht="27" customHeight="1">
      <c r="A65" s="337"/>
      <c r="B65" s="480" t="s">
        <v>555</v>
      </c>
      <c r="D65" s="488"/>
      <c r="E65" s="481">
        <f>IF(E56=0," ",E56-E30)</f>
        <v>0.29722222222222222</v>
      </c>
    </row>
    <row r="66" spans="1:8" s="298" customFormat="1" ht="27" customHeight="1">
      <c r="A66" s="337"/>
      <c r="B66" s="354" t="s">
        <v>562</v>
      </c>
      <c r="D66" s="488"/>
      <c r="E66" s="489"/>
    </row>
    <row r="67" spans="1:8" s="298" customFormat="1" ht="27" customHeight="1">
      <c r="A67" s="337"/>
      <c r="B67" s="354" t="s">
        <v>556</v>
      </c>
      <c r="E67" s="482">
        <f>E52</f>
        <v>8.333333333333337E-2</v>
      </c>
    </row>
    <row r="68" spans="1:8" s="298" customFormat="1" ht="27" customHeight="1">
      <c r="A68" s="337"/>
      <c r="B68" s="357" t="s">
        <v>557</v>
      </c>
      <c r="E68" s="506"/>
    </row>
    <row r="69" spans="1:8" s="325" customFormat="1" ht="27" customHeight="1">
      <c r="B69" s="334"/>
      <c r="D69" s="335"/>
      <c r="E69" s="461"/>
    </row>
    <row r="70" spans="1:8" ht="27" customHeight="1">
      <c r="B70" s="336" t="s">
        <v>548</v>
      </c>
      <c r="C70" s="305"/>
      <c r="D70" s="305"/>
      <c r="H70" s="261"/>
    </row>
    <row r="71" spans="1:8" s="298" customFormat="1" ht="27" customHeight="1">
      <c r="A71" s="337"/>
      <c r="B71" s="338" t="s">
        <v>413</v>
      </c>
      <c r="C71" s="339"/>
      <c r="D71" s="339"/>
      <c r="E71" s="458">
        <f>IF(E54=0," ",((E54-E59)*0.52))</f>
        <v>5.1480000000000006</v>
      </c>
      <c r="H71" s="297"/>
    </row>
    <row r="72" spans="1:8" s="298" customFormat="1" ht="27" customHeight="1">
      <c r="A72" s="337"/>
      <c r="B72" s="342" t="s">
        <v>223</v>
      </c>
      <c r="C72" s="339"/>
      <c r="D72" s="339"/>
      <c r="E72" s="459">
        <f>IF(E54=0," ",E54)</f>
        <v>13</v>
      </c>
      <c r="H72" s="297"/>
    </row>
    <row r="73" spans="1:8" s="298" customFormat="1" ht="27" customHeight="1">
      <c r="A73" s="337"/>
      <c r="B73" s="344" t="s">
        <v>219</v>
      </c>
      <c r="C73" s="345"/>
      <c r="D73" s="345"/>
      <c r="E73" s="392">
        <v>20</v>
      </c>
    </row>
    <row r="74" spans="1:8" s="298" customFormat="1" ht="27" customHeight="1">
      <c r="A74" s="337"/>
      <c r="B74" s="344" t="s">
        <v>218</v>
      </c>
      <c r="C74" s="347"/>
      <c r="E74" s="453">
        <v>3.7</v>
      </c>
    </row>
    <row r="75" spans="1:8" s="298" customFormat="1" ht="27" customHeight="1">
      <c r="A75" s="337"/>
      <c r="B75" s="349" t="s">
        <v>224</v>
      </c>
      <c r="C75" s="345"/>
      <c r="D75" s="345"/>
      <c r="E75" s="454">
        <f>IF(E54=0," ",(E54/(258.6-((E54/258.2)*227.1)))+1)</f>
        <v>1.0525962648284455</v>
      </c>
    </row>
    <row r="76" spans="1:8" s="298" customFormat="1" ht="27" customHeight="1">
      <c r="A76" s="337"/>
      <c r="B76" s="351" t="s">
        <v>225</v>
      </c>
      <c r="C76" s="345"/>
      <c r="D76" s="345"/>
      <c r="E76" s="455">
        <f>IF(E59=0," ",((E59/(258.6-((E59/258.2)*227.1))) + 1))</f>
        <v>1.0121153667720604</v>
      </c>
    </row>
    <row r="77" spans="1:8" ht="27" customHeight="1">
      <c r="B77" s="317"/>
      <c r="F77"/>
    </row>
    <row r="78" spans="1:8" s="298" customFormat="1" ht="27" customHeight="1">
      <c r="A78" s="337"/>
      <c r="B78" s="374" t="s">
        <v>154</v>
      </c>
      <c r="E78" s="353">
        <f>((E79*E80)/E81)/100</f>
        <v>0.70200000000000007</v>
      </c>
      <c r="H78" s="297"/>
    </row>
    <row r="79" spans="1:8" s="298" customFormat="1" ht="27" customHeight="1">
      <c r="A79" s="337"/>
      <c r="B79" s="354" t="s">
        <v>510</v>
      </c>
      <c r="E79" s="355">
        <f>E53</f>
        <v>27</v>
      </c>
      <c r="H79" s="297"/>
    </row>
    <row r="80" spans="1:8" s="298" customFormat="1" ht="27" customHeight="1">
      <c r="A80" s="337"/>
      <c r="B80" s="354" t="s">
        <v>361</v>
      </c>
      <c r="E80" s="356">
        <f>E54</f>
        <v>13</v>
      </c>
      <c r="H80" s="297"/>
    </row>
    <row r="81" spans="1:8" s="298" customFormat="1" ht="27" customHeight="1">
      <c r="A81" s="337"/>
      <c r="B81" s="357" t="s">
        <v>153</v>
      </c>
      <c r="E81" s="415">
        <f>C5</f>
        <v>5</v>
      </c>
      <c r="H81" s="297"/>
    </row>
    <row r="82" spans="1:8" s="298" customFormat="1" ht="27" customHeight="1">
      <c r="A82" s="337"/>
      <c r="E82" s="507"/>
    </row>
    <row r="83" spans="1:8" s="325" customFormat="1" ht="27" customHeight="1">
      <c r="B83" s="326" t="s">
        <v>71</v>
      </c>
      <c r="E83" s="461"/>
    </row>
    <row r="84" spans="1:8" s="325" customFormat="1" ht="27" customHeight="1">
      <c r="B84" s="327" t="s">
        <v>416</v>
      </c>
      <c r="E84" s="456"/>
    </row>
    <row r="85" spans="1:8" s="325" customFormat="1" ht="27" customHeight="1">
      <c r="B85" s="328" t="s">
        <v>366</v>
      </c>
      <c r="E85" s="457"/>
    </row>
    <row r="86" spans="1:8" s="325" customFormat="1" ht="27" customHeight="1">
      <c r="B86" s="328" t="s">
        <v>75</v>
      </c>
      <c r="E86" s="331">
        <v>6</v>
      </c>
      <c r="F86" s="474" t="s">
        <v>566</v>
      </c>
    </row>
    <row r="87" spans="1:8" s="325" customFormat="1" ht="27" customHeight="1">
      <c r="B87" s="328" t="s">
        <v>414</v>
      </c>
      <c r="E87" s="331" t="str">
        <f>IF(E84=0," ",(1*E84*10*80%))</f>
        <v/>
      </c>
      <c r="F87" s="325" t="s">
        <v>567</v>
      </c>
    </row>
    <row r="88" spans="1:8" s="325" customFormat="1" ht="27" customHeight="1">
      <c r="B88" s="332" t="s">
        <v>415</v>
      </c>
      <c r="E88" s="333" t="str">
        <f>IF(E85=0," ",E85*E86/E87)</f>
        <v/>
      </c>
      <c r="F88" s="325" t="s">
        <v>568</v>
      </c>
    </row>
    <row r="89" spans="1:8" s="298" customFormat="1" ht="27" customHeight="1">
      <c r="A89" s="337"/>
      <c r="E89" s="347"/>
    </row>
    <row r="90" spans="1:8" s="298" customFormat="1" ht="27" customHeight="1">
      <c r="A90" s="337"/>
      <c r="E90" s="347"/>
    </row>
    <row r="91" spans="1:8" s="298" customFormat="1" ht="27" customHeight="1">
      <c r="A91" s="337"/>
      <c r="B91" s="359"/>
      <c r="E91" s="347"/>
    </row>
    <row r="92" spans="1:8" s="298" customFormat="1" ht="27" customHeight="1">
      <c r="A92" s="337"/>
      <c r="E92" s="347"/>
      <c r="H92" s="297"/>
    </row>
    <row r="93" spans="1:8" s="298" customFormat="1" ht="27" customHeight="1">
      <c r="A93" s="337"/>
      <c r="B93" s="359" t="s">
        <v>220</v>
      </c>
      <c r="E93" s="347"/>
      <c r="H93" s="297"/>
    </row>
    <row r="94" spans="1:8" s="298" customFormat="1" ht="27" customHeight="1">
      <c r="A94" s="337"/>
      <c r="B94" s="298" t="s">
        <v>553</v>
      </c>
      <c r="E94" s="347"/>
      <c r="H94" s="297"/>
    </row>
    <row r="95" spans="1:8" s="298" customFormat="1" ht="27" customHeight="1">
      <c r="A95" s="337"/>
      <c r="B95" s="298" t="s">
        <v>544</v>
      </c>
      <c r="E95" s="347"/>
      <c r="H95" s="297"/>
    </row>
    <row r="96" spans="1:8" ht="27" customHeight="1">
      <c r="B96" s="317" t="s">
        <v>545</v>
      </c>
    </row>
    <row r="97" spans="1:8" ht="27" customHeight="1">
      <c r="B97" s="317" t="s">
        <v>546</v>
      </c>
      <c r="F97"/>
    </row>
    <row r="98" spans="1:8" ht="27" customHeight="1">
      <c r="B98" s="317" t="s">
        <v>550</v>
      </c>
      <c r="F98"/>
    </row>
    <row r="99" spans="1:8" ht="27" customHeight="1">
      <c r="B99" s="317" t="s">
        <v>549</v>
      </c>
      <c r="F99"/>
    </row>
    <row r="100" spans="1:8" ht="27" customHeight="1">
      <c r="B100" s="317" t="s">
        <v>551</v>
      </c>
      <c r="F100"/>
    </row>
    <row r="101" spans="1:8" ht="27" customHeight="1">
      <c r="B101" s="317" t="s">
        <v>552</v>
      </c>
      <c r="F101"/>
    </row>
    <row r="102" spans="1:8" ht="27" customHeight="1">
      <c r="B102" s="317"/>
      <c r="F102"/>
    </row>
    <row r="103" spans="1:8" ht="27" customHeight="1">
      <c r="F103" s="704" t="s">
        <v>339</v>
      </c>
      <c r="G103" s="705"/>
    </row>
    <row r="104" spans="1:8" ht="27" customHeight="1">
      <c r="F104" s="360" t="s">
        <v>238</v>
      </c>
      <c r="G104" s="360" t="s">
        <v>239</v>
      </c>
    </row>
    <row r="105" spans="1:8" ht="27" customHeight="1">
      <c r="B105" s="255"/>
      <c r="C105" s="498"/>
      <c r="F105" s="361">
        <v>0.5</v>
      </c>
      <c r="G105" s="450">
        <v>1.002</v>
      </c>
    </row>
    <row r="106" spans="1:8" ht="27" customHeight="1">
      <c r="B106" s="255"/>
      <c r="C106" s="499"/>
      <c r="F106" s="361">
        <v>1</v>
      </c>
      <c r="G106" s="450">
        <v>1.004</v>
      </c>
    </row>
    <row r="107" spans="1:8" ht="27" customHeight="1">
      <c r="B107" s="500"/>
      <c r="C107" s="499"/>
      <c r="F107" s="361">
        <v>1.5</v>
      </c>
      <c r="G107" s="450">
        <v>1.006</v>
      </c>
    </row>
    <row r="108" spans="1:8" ht="27" customHeight="1">
      <c r="C108" s="486"/>
      <c r="F108" s="361">
        <v>2</v>
      </c>
      <c r="G108" s="450">
        <v>1.008</v>
      </c>
    </row>
    <row r="109" spans="1:8" ht="27" customHeight="1">
      <c r="F109" s="361">
        <v>2.5</v>
      </c>
      <c r="G109" s="450">
        <v>1.01</v>
      </c>
    </row>
    <row r="110" spans="1:8" ht="27" customHeight="1">
      <c r="B110" s="261" t="s">
        <v>560</v>
      </c>
      <c r="C110" s="484">
        <v>60</v>
      </c>
      <c r="F110" s="361">
        <v>3</v>
      </c>
      <c r="G110" s="450">
        <v>1.012</v>
      </c>
    </row>
    <row r="111" spans="1:8" ht="27" customHeight="1">
      <c r="B111" s="261" t="s">
        <v>561</v>
      </c>
      <c r="C111" s="484">
        <v>20</v>
      </c>
      <c r="F111" s="361">
        <v>3.5</v>
      </c>
      <c r="G111" s="450">
        <v>1.014</v>
      </c>
    </row>
    <row r="112" spans="1:8" ht="27" customHeight="1">
      <c r="A112" s="261"/>
      <c r="B112" s="255"/>
      <c r="C112" s="498"/>
      <c r="F112" s="361">
        <v>4</v>
      </c>
      <c r="G112" s="450">
        <v>1.016</v>
      </c>
      <c r="H112" s="261"/>
    </row>
    <row r="113" spans="1:8" ht="27" customHeight="1">
      <c r="A113" s="261"/>
      <c r="B113" s="261" t="s">
        <v>558</v>
      </c>
      <c r="C113" s="484">
        <v>10</v>
      </c>
      <c r="F113" s="361">
        <v>4.5</v>
      </c>
      <c r="G113" s="450">
        <v>1.018</v>
      </c>
      <c r="H113" s="261"/>
    </row>
    <row r="114" spans="1:8" ht="27" customHeight="1">
      <c r="A114" s="261"/>
      <c r="C114" s="487">
        <f>SUM(C110:C113)</f>
        <v>90</v>
      </c>
      <c r="F114" s="361">
        <v>5</v>
      </c>
      <c r="G114" s="450">
        <v>1.02</v>
      </c>
      <c r="H114" s="261"/>
    </row>
    <row r="115" spans="1:8" ht="27" customHeight="1">
      <c r="A115" s="261"/>
      <c r="F115" s="361">
        <v>5.5</v>
      </c>
      <c r="G115" s="450">
        <v>1.022</v>
      </c>
      <c r="H115" s="261"/>
    </row>
    <row r="116" spans="1:8" ht="27" customHeight="1">
      <c r="A116" s="261"/>
      <c r="C116" s="485">
        <f>C114+C105</f>
        <v>90</v>
      </c>
      <c r="F116" s="361">
        <v>6</v>
      </c>
      <c r="G116" s="450">
        <v>1.024</v>
      </c>
      <c r="H116" s="261"/>
    </row>
    <row r="117" spans="1:8" ht="27" customHeight="1">
      <c r="A117" s="261"/>
      <c r="F117" s="361">
        <v>6.5</v>
      </c>
      <c r="G117" s="450">
        <v>1.026</v>
      </c>
      <c r="H117" s="261"/>
    </row>
    <row r="118" spans="1:8" ht="27" customHeight="1">
      <c r="A118" s="261"/>
      <c r="F118" s="361">
        <v>7</v>
      </c>
      <c r="G118" s="450">
        <v>1.028</v>
      </c>
      <c r="H118" s="261"/>
    </row>
    <row r="119" spans="1:8" ht="27" customHeight="1">
      <c r="A119" s="261"/>
      <c r="F119" s="361">
        <v>7.5</v>
      </c>
      <c r="G119" s="450">
        <v>1.03</v>
      </c>
      <c r="H119" s="261"/>
    </row>
    <row r="120" spans="1:8" ht="27" customHeight="1">
      <c r="A120" s="261"/>
      <c r="F120" s="361">
        <v>8</v>
      </c>
      <c r="G120" s="450">
        <v>1.032</v>
      </c>
      <c r="H120" s="261"/>
    </row>
    <row r="121" spans="1:8" ht="27" customHeight="1">
      <c r="A121" s="261"/>
      <c r="F121" s="361">
        <v>8.5</v>
      </c>
      <c r="G121" s="450">
        <v>1.034</v>
      </c>
      <c r="H121" s="261"/>
    </row>
    <row r="122" spans="1:8" ht="27" customHeight="1">
      <c r="A122" s="261"/>
      <c r="F122" s="361">
        <v>9</v>
      </c>
      <c r="G122" s="450">
        <v>1.036</v>
      </c>
      <c r="H122" s="261"/>
    </row>
    <row r="123" spans="1:8" ht="27" customHeight="1">
      <c r="A123" s="261"/>
      <c r="F123" s="361">
        <v>9.5</v>
      </c>
      <c r="G123" s="450">
        <v>1.038</v>
      </c>
      <c r="H123" s="261"/>
    </row>
    <row r="124" spans="1:8" ht="27" customHeight="1">
      <c r="A124" s="261"/>
      <c r="F124" s="361">
        <v>10</v>
      </c>
      <c r="G124" s="450">
        <v>1.04</v>
      </c>
      <c r="H124" s="261"/>
    </row>
    <row r="125" spans="1:8" ht="27" customHeight="1">
      <c r="A125" s="261"/>
      <c r="F125" s="361">
        <v>10.5</v>
      </c>
      <c r="G125" s="450">
        <v>1.042</v>
      </c>
      <c r="H125" s="261"/>
    </row>
    <row r="126" spans="1:8" ht="27" customHeight="1">
      <c r="A126" s="261"/>
      <c r="F126" s="361">
        <v>11</v>
      </c>
      <c r="G126" s="450">
        <v>1.044</v>
      </c>
      <c r="H126" s="261"/>
    </row>
    <row r="127" spans="1:8" ht="27" customHeight="1">
      <c r="A127" s="261"/>
      <c r="F127" s="361">
        <v>11.5</v>
      </c>
      <c r="G127" s="450">
        <v>1.046</v>
      </c>
      <c r="H127" s="261"/>
    </row>
    <row r="128" spans="1:8" ht="27" customHeight="1">
      <c r="A128" s="261"/>
      <c r="F128" s="361">
        <v>12</v>
      </c>
      <c r="G128" s="450">
        <v>1.048</v>
      </c>
      <c r="H128" s="261"/>
    </row>
    <row r="129" spans="1:8" ht="27" customHeight="1">
      <c r="A129" s="261"/>
      <c r="F129" s="361">
        <v>12.5</v>
      </c>
      <c r="G129" s="450">
        <v>1.05</v>
      </c>
      <c r="H129" s="261"/>
    </row>
    <row r="130" spans="1:8" ht="27" customHeight="1">
      <c r="A130" s="261"/>
      <c r="F130" s="361">
        <v>13</v>
      </c>
      <c r="G130" s="450">
        <v>1.0529999999999999</v>
      </c>
      <c r="H130" s="261"/>
    </row>
    <row r="131" spans="1:8" ht="27" customHeight="1">
      <c r="A131" s="261"/>
      <c r="F131" s="361">
        <v>13.5</v>
      </c>
      <c r="G131" s="450">
        <v>1.0549999999999999</v>
      </c>
      <c r="H131" s="261"/>
    </row>
    <row r="132" spans="1:8" ht="27" customHeight="1">
      <c r="A132" s="261"/>
      <c r="F132" s="361">
        <v>14</v>
      </c>
      <c r="G132" s="450">
        <v>1.0569999999999999</v>
      </c>
      <c r="H132" s="261"/>
    </row>
    <row r="133" spans="1:8" ht="27" customHeight="1">
      <c r="A133" s="261"/>
      <c r="F133" s="361">
        <v>14.5</v>
      </c>
      <c r="G133" s="450">
        <v>1.0589999999999999</v>
      </c>
      <c r="H133" s="261"/>
    </row>
    <row r="134" spans="1:8" ht="27" customHeight="1">
      <c r="A134" s="261"/>
      <c r="F134" s="361">
        <v>15</v>
      </c>
      <c r="G134" s="450">
        <v>1.0609999999999999</v>
      </c>
      <c r="H134" s="261"/>
    </row>
    <row r="135" spans="1:8" ht="27" customHeight="1">
      <c r="A135" s="261"/>
      <c r="F135" s="361">
        <v>15.5</v>
      </c>
      <c r="G135" s="450">
        <v>1.0629999999999999</v>
      </c>
      <c r="H135" s="261"/>
    </row>
    <row r="136" spans="1:8" ht="27" customHeight="1">
      <c r="A136" s="261"/>
      <c r="F136" s="361">
        <v>16</v>
      </c>
      <c r="G136" s="450">
        <v>1.0649999999999999</v>
      </c>
      <c r="H136" s="261"/>
    </row>
    <row r="137" spans="1:8" ht="27" customHeight="1">
      <c r="A137" s="261"/>
      <c r="F137" s="361">
        <v>16.5</v>
      </c>
      <c r="G137" s="450">
        <v>1.0680000000000001</v>
      </c>
      <c r="H137" s="261"/>
    </row>
    <row r="138" spans="1:8" ht="27" customHeight="1">
      <c r="A138" s="261"/>
      <c r="F138" s="361">
        <v>17</v>
      </c>
      <c r="G138" s="450">
        <v>1.07</v>
      </c>
      <c r="H138" s="261"/>
    </row>
    <row r="139" spans="1:8" ht="27" customHeight="1">
      <c r="A139" s="261"/>
      <c r="F139" s="361">
        <v>17.5</v>
      </c>
      <c r="G139" s="450">
        <v>1.0720000000000001</v>
      </c>
      <c r="H139" s="261"/>
    </row>
    <row r="140" spans="1:8" ht="27" customHeight="1">
      <c r="A140" s="261"/>
      <c r="F140" s="361">
        <v>18</v>
      </c>
      <c r="G140" s="450">
        <v>1.0740000000000001</v>
      </c>
      <c r="H140" s="261"/>
    </row>
    <row r="141" spans="1:8" ht="27" customHeight="1">
      <c r="A141" s="261"/>
      <c r="F141" s="361">
        <v>18.5</v>
      </c>
      <c r="G141" s="450">
        <v>1.0760000000000001</v>
      </c>
      <c r="H141" s="261"/>
    </row>
    <row r="142" spans="1:8" ht="27" customHeight="1">
      <c r="A142" s="261"/>
      <c r="F142" s="361">
        <v>19</v>
      </c>
      <c r="G142" s="450">
        <v>1.079</v>
      </c>
      <c r="H142" s="261"/>
    </row>
    <row r="143" spans="1:8" ht="27" customHeight="1">
      <c r="A143" s="261"/>
      <c r="F143" s="361">
        <v>19.5</v>
      </c>
      <c r="G143" s="450">
        <v>1.081</v>
      </c>
      <c r="H143" s="261"/>
    </row>
    <row r="144" spans="1:8" ht="27" customHeight="1">
      <c r="A144" s="261"/>
      <c r="F144" s="361">
        <v>20</v>
      </c>
      <c r="G144" s="450">
        <v>1.083</v>
      </c>
      <c r="H144" s="261"/>
    </row>
    <row r="145" spans="1:8" ht="27" customHeight="1">
      <c r="A145" s="261"/>
      <c r="F145" s="361">
        <v>20.5</v>
      </c>
      <c r="G145" s="450">
        <v>1.085</v>
      </c>
      <c r="H145" s="261"/>
    </row>
    <row r="146" spans="1:8" ht="27" customHeight="1">
      <c r="A146" s="261"/>
      <c r="F146" s="361">
        <v>21</v>
      </c>
      <c r="G146" s="450">
        <v>1.087</v>
      </c>
      <c r="H146" s="261"/>
    </row>
    <row r="147" spans="1:8" ht="27" customHeight="1">
      <c r="A147" s="261"/>
      <c r="F147" s="361">
        <v>21.5</v>
      </c>
      <c r="G147" s="450">
        <v>1.0900000000000001</v>
      </c>
      <c r="H147" s="261"/>
    </row>
    <row r="148" spans="1:8" ht="27" customHeight="1">
      <c r="A148" s="261"/>
      <c r="F148" s="361">
        <v>22</v>
      </c>
      <c r="G148" s="450">
        <v>1.0920000000000001</v>
      </c>
      <c r="H148" s="261"/>
    </row>
    <row r="149" spans="1:8" ht="27" customHeight="1">
      <c r="A149" s="261"/>
      <c r="F149" s="361">
        <v>22.5</v>
      </c>
      <c r="G149" s="450">
        <v>1.0940000000000001</v>
      </c>
      <c r="H149" s="261"/>
    </row>
    <row r="150" spans="1:8" ht="27" customHeight="1">
      <c r="A150" s="261"/>
      <c r="F150" s="361">
        <v>23</v>
      </c>
      <c r="G150" s="450">
        <v>1.0960000000000001</v>
      </c>
      <c r="H150" s="261"/>
    </row>
    <row r="151" spans="1:8" ht="27" customHeight="1">
      <c r="A151" s="261"/>
      <c r="F151" s="361">
        <v>23.5</v>
      </c>
      <c r="G151" s="450">
        <v>1.099</v>
      </c>
      <c r="H151" s="261"/>
    </row>
    <row r="152" spans="1:8" ht="27" customHeight="1">
      <c r="A152" s="261"/>
      <c r="F152" s="361">
        <v>24</v>
      </c>
      <c r="G152" s="450">
        <v>1.101</v>
      </c>
      <c r="H152" s="261"/>
    </row>
    <row r="153" spans="1:8" ht="27" customHeight="1">
      <c r="A153" s="261"/>
      <c r="F153" s="361">
        <v>24.5</v>
      </c>
      <c r="G153" s="450">
        <v>1.103</v>
      </c>
      <c r="H153" s="261"/>
    </row>
    <row r="154" spans="1:8" ht="27" customHeight="1">
      <c r="A154" s="261"/>
      <c r="F154" s="361">
        <v>25</v>
      </c>
      <c r="G154" s="450">
        <v>1.1060000000000001</v>
      </c>
      <c r="H154" s="261"/>
    </row>
    <row r="155" spans="1:8" ht="27" customHeight="1">
      <c r="A155" s="261"/>
      <c r="F155" s="361">
        <v>25.5</v>
      </c>
      <c r="G155" s="450">
        <v>1.1080000000000001</v>
      </c>
      <c r="H155" s="261"/>
    </row>
    <row r="156" spans="1:8" ht="27" customHeight="1">
      <c r="A156" s="261"/>
      <c r="F156" s="361">
        <v>26</v>
      </c>
      <c r="G156" s="450">
        <v>1.1100000000000001</v>
      </c>
      <c r="H156" s="261"/>
    </row>
    <row r="157" spans="1:8" ht="27" customHeight="1">
      <c r="A157" s="261"/>
      <c r="F157" s="361">
        <v>26.5</v>
      </c>
      <c r="G157" s="450">
        <v>1.113</v>
      </c>
      <c r="H157" s="261"/>
    </row>
    <row r="158" spans="1:8" ht="27" customHeight="1">
      <c r="A158" s="261"/>
      <c r="F158" s="361">
        <v>27</v>
      </c>
      <c r="G158" s="450">
        <v>1.115</v>
      </c>
      <c r="H158" s="261"/>
    </row>
    <row r="159" spans="1:8" ht="27" customHeight="1">
      <c r="A159" s="261"/>
      <c r="F159" s="361">
        <v>27.5</v>
      </c>
      <c r="G159" s="450">
        <v>1.117</v>
      </c>
      <c r="H159" s="261"/>
    </row>
    <row r="160" spans="1:8" ht="27" customHeight="1">
      <c r="A160" s="261"/>
      <c r="F160" s="361">
        <v>28</v>
      </c>
      <c r="G160" s="450">
        <v>1.1200000000000001</v>
      </c>
      <c r="H160" s="261"/>
    </row>
    <row r="161" spans="1:8" ht="27" customHeight="1">
      <c r="A161" s="261"/>
      <c r="F161" s="361">
        <v>28.5</v>
      </c>
      <c r="G161" s="450">
        <v>1.1220000000000001</v>
      </c>
      <c r="H161" s="261"/>
    </row>
    <row r="162" spans="1:8" ht="27" customHeight="1">
      <c r="A162" s="261"/>
      <c r="F162" s="361">
        <v>29</v>
      </c>
      <c r="G162" s="450">
        <v>1.1240000000000001</v>
      </c>
      <c r="H162" s="261"/>
    </row>
    <row r="163" spans="1:8" ht="27" customHeight="1">
      <c r="A163" s="261"/>
      <c r="F163" s="361">
        <v>29.5</v>
      </c>
      <c r="G163" s="450">
        <v>1.127</v>
      </c>
      <c r="H163" s="261"/>
    </row>
    <row r="164" spans="1:8" ht="27" customHeight="1">
      <c r="A164" s="261"/>
      <c r="F164" s="361">
        <v>30</v>
      </c>
      <c r="G164" s="450">
        <v>1.129</v>
      </c>
      <c r="H164" s="261"/>
    </row>
    <row r="165" spans="1:8" ht="27" customHeight="1">
      <c r="A165" s="261"/>
      <c r="F165" s="361">
        <v>30.5</v>
      </c>
      <c r="G165" s="450">
        <v>1.1319999999999999</v>
      </c>
      <c r="H165" s="261"/>
    </row>
    <row r="166" spans="1:8" ht="27" customHeight="1">
      <c r="A166" s="261"/>
      <c r="F166" s="361">
        <v>31</v>
      </c>
      <c r="G166" s="450">
        <v>1.1339999999999999</v>
      </c>
      <c r="H166" s="261"/>
    </row>
    <row r="167" spans="1:8" ht="27" customHeight="1">
      <c r="A167" s="261"/>
      <c r="F167" s="361">
        <v>31.5</v>
      </c>
      <c r="G167" s="450">
        <v>1.1359999999999999</v>
      </c>
      <c r="H167" s="261"/>
    </row>
    <row r="168" spans="1:8" ht="27" customHeight="1">
      <c r="A168" s="261"/>
      <c r="F168" s="361">
        <v>32</v>
      </c>
      <c r="G168" s="450">
        <v>1.139</v>
      </c>
      <c r="H168" s="261"/>
    </row>
    <row r="169" spans="1:8" ht="27" customHeight="1">
      <c r="A169" s="261"/>
      <c r="F169" s="361">
        <v>32.5</v>
      </c>
      <c r="G169" s="450">
        <v>1.141</v>
      </c>
      <c r="H169" s="261"/>
    </row>
    <row r="170" spans="1:8" ht="27" customHeight="1">
      <c r="A170" s="261"/>
      <c r="F170" s="361">
        <v>33</v>
      </c>
      <c r="G170" s="450">
        <v>1.1439999999999999</v>
      </c>
      <c r="H170" s="261"/>
    </row>
    <row r="171" spans="1:8" ht="27" customHeight="1">
      <c r="A171" s="261"/>
      <c r="F171" s="361">
        <v>33.5</v>
      </c>
      <c r="G171" s="450">
        <v>1.1459999999999999</v>
      </c>
      <c r="H171" s="261"/>
    </row>
    <row r="172" spans="1:8" ht="27" customHeight="1">
      <c r="A172" s="261"/>
      <c r="F172" s="361">
        <v>34</v>
      </c>
      <c r="G172" s="450">
        <v>1.149</v>
      </c>
      <c r="H172" s="261"/>
    </row>
    <row r="173" spans="1:8" ht="27" customHeight="1">
      <c r="A173" s="261"/>
      <c r="F173" s="361">
        <v>34.5</v>
      </c>
      <c r="G173" s="450">
        <v>1.151</v>
      </c>
      <c r="H173" s="261"/>
    </row>
    <row r="174" spans="1:8" ht="27" customHeight="1">
      <c r="A174" s="261"/>
      <c r="F174" s="361">
        <v>35</v>
      </c>
      <c r="G174" s="450">
        <v>1.1539999999999999</v>
      </c>
      <c r="H174" s="261"/>
    </row>
    <row r="175" spans="1:8" ht="27" customHeight="1">
      <c r="A175" s="261"/>
      <c r="F175" s="361">
        <v>35.5</v>
      </c>
      <c r="G175" s="450">
        <v>1.1559999999999999</v>
      </c>
      <c r="H175" s="261"/>
    </row>
    <row r="176" spans="1:8" ht="27" customHeight="1">
      <c r="A176" s="261"/>
      <c r="F176" s="361">
        <v>36</v>
      </c>
      <c r="G176" s="450">
        <v>1.159</v>
      </c>
      <c r="H176" s="261"/>
    </row>
    <row r="177" spans="1:8" ht="27" customHeight="1">
      <c r="A177" s="261"/>
      <c r="F177" s="361">
        <v>36.5</v>
      </c>
      <c r="G177" s="450">
        <v>1.161</v>
      </c>
      <c r="H177" s="261"/>
    </row>
    <row r="178" spans="1:8" ht="27" customHeight="1">
      <c r="A178" s="261"/>
      <c r="F178" s="361">
        <v>37</v>
      </c>
      <c r="G178" s="450">
        <v>1.1639999999999999</v>
      </c>
      <c r="H178" s="261"/>
    </row>
    <row r="179" spans="1:8" ht="27" customHeight="1">
      <c r="A179" s="261"/>
      <c r="F179" s="361">
        <v>37.5</v>
      </c>
      <c r="G179" s="450">
        <v>1.1659999999999999</v>
      </c>
      <c r="H179" s="261"/>
    </row>
    <row r="180" spans="1:8" ht="27" customHeight="1">
      <c r="A180" s="261"/>
      <c r="F180" s="361">
        <v>38</v>
      </c>
      <c r="G180" s="450">
        <v>1.169</v>
      </c>
      <c r="H180" s="261"/>
    </row>
    <row r="181" spans="1:8" ht="27" customHeight="1">
      <c r="A181" s="261"/>
      <c r="F181" s="361">
        <v>38.5</v>
      </c>
      <c r="G181" s="450">
        <v>1.171</v>
      </c>
      <c r="H181" s="261"/>
    </row>
    <row r="182" spans="1:8" ht="27" customHeight="1">
      <c r="A182" s="261"/>
      <c r="F182" s="361">
        <v>39</v>
      </c>
      <c r="G182" s="450">
        <v>1.1739999999999999</v>
      </c>
      <c r="H182" s="261"/>
    </row>
    <row r="183" spans="1:8" ht="27" customHeight="1">
      <c r="A183" s="261"/>
      <c r="F183" s="361">
        <v>39.5</v>
      </c>
      <c r="G183" s="450">
        <v>1.1759999999999999</v>
      </c>
      <c r="H183" s="261"/>
    </row>
    <row r="184" spans="1:8" ht="27" customHeight="1">
      <c r="A184" s="261"/>
      <c r="F184" s="361">
        <v>40</v>
      </c>
      <c r="G184" s="450">
        <v>1.179</v>
      </c>
      <c r="H184" s="261"/>
    </row>
    <row r="185" spans="1:8" ht="27" customHeight="1">
      <c r="E185" s="462"/>
    </row>
  </sheetData>
  <sheetProtection selectLockedCells="1"/>
  <mergeCells count="3">
    <mergeCell ref="B58:E58"/>
    <mergeCell ref="B59:D59"/>
    <mergeCell ref="F103:G103"/>
  </mergeCells>
  <conditionalFormatting sqref="E59">
    <cfRule type="expression" dxfId="16" priority="9">
      <formula>$E$59=0</formula>
    </cfRule>
  </conditionalFormatting>
  <conditionalFormatting sqref="E67">
    <cfRule type="expression" dxfId="15" priority="4">
      <formula>$E$67=0</formula>
    </cfRule>
  </conditionalFormatting>
  <conditionalFormatting sqref="E68 E82">
    <cfRule type="expression" dxfId="14" priority="3">
      <formula>$E$68=0</formula>
    </cfRule>
  </conditionalFormatting>
  <hyperlinks>
    <hyperlink ref="B74" r:id="rId1"/>
    <hyperlink ref="B73" r:id="rId2"/>
    <hyperlink ref="B21" r:id="rId3" display="Капачки"/>
    <hyperlink ref="B22" r:id="rId4"/>
    <hyperlink ref="B16" r:id="rId5"/>
    <hyperlink ref="B12" r:id="rId6" display="Pale Ale - Вайерман Германия"/>
    <hyperlink ref="B17" r:id="rId7" display="Жатец       10      (ароматен; чешки; алфа 3,4%)"/>
    <hyperlink ref="B34" r:id="rId8"/>
    <hyperlink ref="B47:B49" r:id="rId9" display="Жатец       10      (ароматен; чешки; алфа 3,4%)"/>
    <hyperlink ref="B13" r:id="rId10"/>
    <hyperlink ref="B20" r:id="rId11" display="Нотингам "/>
  </hyperlinks>
  <printOptions horizontalCentered="1"/>
  <pageMargins left="0.23622047244094491" right="0.23622047244094491" top="0.23622047244094491" bottom="0.11811023622047245" header="0.31496062992125984" footer="0.31496062992125984"/>
  <pageSetup paperSize="9" orientation="portrait" r:id="rId12"/>
</worksheet>
</file>

<file path=xl/worksheets/sheet12.xml><?xml version="1.0" encoding="utf-8"?>
<worksheet xmlns="http://schemas.openxmlformats.org/spreadsheetml/2006/main" xmlns:r="http://schemas.openxmlformats.org/officeDocument/2006/relationships">
  <dimension ref="A1:H195"/>
  <sheetViews>
    <sheetView workbookViewId="0">
      <selection activeCell="A19" sqref="A19:XFD19"/>
    </sheetView>
  </sheetViews>
  <sheetFormatPr defaultRowHeight="27" customHeight="1"/>
  <cols>
    <col min="1" max="1" width="3.7109375" style="243" customWidth="1"/>
    <col min="2" max="2" width="55.7109375" style="261" customWidth="1"/>
    <col min="3" max="4" width="12.7109375" style="261" customWidth="1"/>
    <col min="5" max="5" width="12.7109375" style="305" customWidth="1"/>
    <col min="6" max="38" width="12.7109375" style="261" customWidth="1"/>
    <col min="39" max="16384" width="9.140625" style="261"/>
  </cols>
  <sheetData>
    <row r="1" spans="1:6" s="244" customFormat="1" ht="27" customHeight="1">
      <c r="A1" s="243"/>
      <c r="C1" s="245" t="s">
        <v>221</v>
      </c>
      <c r="D1" s="245" t="s">
        <v>144</v>
      </c>
    </row>
    <row r="2" spans="1:6" s="244" customFormat="1" ht="27" customHeight="1">
      <c r="A2" s="243"/>
      <c r="B2" s="176" t="s">
        <v>215</v>
      </c>
      <c r="C2" s="245" t="s">
        <v>591</v>
      </c>
      <c r="D2" s="249">
        <v>42645</v>
      </c>
      <c r="E2" s="249"/>
    </row>
    <row r="3" spans="1:6" s="244" customFormat="1" ht="27" customHeight="1">
      <c r="A3" s="243"/>
      <c r="B3" s="250" t="s">
        <v>580</v>
      </c>
      <c r="C3" s="245"/>
      <c r="D3" s="248"/>
      <c r="E3" s="249"/>
    </row>
    <row r="4" spans="1:6" s="244" customFormat="1" ht="27" customHeight="1">
      <c r="A4" s="243"/>
      <c r="B4" s="250" t="s">
        <v>616</v>
      </c>
      <c r="C4" s="251" t="s">
        <v>95</v>
      </c>
      <c r="D4" s="251" t="s">
        <v>385</v>
      </c>
      <c r="E4" s="251" t="s">
        <v>387</v>
      </c>
      <c r="F4" s="251" t="s">
        <v>528</v>
      </c>
    </row>
    <row r="5" spans="1:6" s="244" customFormat="1" ht="27" customHeight="1">
      <c r="A5" s="243"/>
      <c r="B5" s="250" t="s">
        <v>615</v>
      </c>
      <c r="C5" s="534">
        <v>6</v>
      </c>
      <c r="D5" s="407">
        <f>C5*6.5</f>
        <v>39</v>
      </c>
      <c r="E5" s="407">
        <f>C5*5.5</f>
        <v>33</v>
      </c>
      <c r="F5" s="451">
        <f>C5*5*2</f>
        <v>60</v>
      </c>
    </row>
    <row r="6" spans="1:6" s="244" customFormat="1" ht="27" customHeight="1">
      <c r="A6" s="243"/>
      <c r="B6" s="250" t="s">
        <v>347</v>
      </c>
      <c r="C6" s="255"/>
      <c r="D6" s="255"/>
      <c r="E6" s="290"/>
      <c r="F6" s="255"/>
    </row>
    <row r="7" spans="1:6" s="244" customFormat="1" ht="27" customHeight="1">
      <c r="A7" s="243"/>
      <c r="B7" s="250" t="s">
        <v>352</v>
      </c>
      <c r="C7" s="251" t="s">
        <v>386</v>
      </c>
      <c r="D7" s="251" t="s">
        <v>46</v>
      </c>
      <c r="E7" s="249"/>
      <c r="F7" s="251" t="s">
        <v>541</v>
      </c>
    </row>
    <row r="8" spans="1:6" s="244" customFormat="1" ht="27" customHeight="1">
      <c r="A8" s="243"/>
      <c r="B8" s="250" t="s">
        <v>346</v>
      </c>
      <c r="C8" s="256">
        <f>SUM(F11:F30)</f>
        <v>38.3825</v>
      </c>
      <c r="D8" s="257" t="str">
        <f>IF(F8=0," ",C8/F8)</f>
        <v/>
      </c>
      <c r="E8" s="249"/>
      <c r="F8" s="467"/>
    </row>
    <row r="9" spans="1:6" s="244" customFormat="1" ht="27" customHeight="1">
      <c r="A9" s="243"/>
      <c r="B9" s="250" t="s">
        <v>350</v>
      </c>
      <c r="C9" s="245"/>
      <c r="D9" s="248"/>
      <c r="E9" s="249"/>
    </row>
    <row r="10" spans="1:6" s="244" customFormat="1" ht="27" customHeight="1">
      <c r="A10" s="243"/>
      <c r="B10" s="258"/>
      <c r="C10" s="245"/>
      <c r="D10" s="248"/>
      <c r="E10" s="249"/>
    </row>
    <row r="11" spans="1:6" s="244" customFormat="1" ht="27" customHeight="1">
      <c r="A11" s="243"/>
      <c r="B11" s="259" t="s">
        <v>95</v>
      </c>
      <c r="C11" s="260" t="s">
        <v>42</v>
      </c>
      <c r="D11" s="260" t="s">
        <v>354</v>
      </c>
      <c r="E11" s="260" t="s">
        <v>41</v>
      </c>
      <c r="F11" s="245" t="s">
        <v>41</v>
      </c>
    </row>
    <row r="12" spans="1:6" ht="27" customHeight="1">
      <c r="A12" s="243">
        <v>1</v>
      </c>
      <c r="B12" s="265" t="s">
        <v>579</v>
      </c>
      <c r="C12" s="402">
        <f>C5*D12</f>
        <v>4.5</v>
      </c>
      <c r="D12" s="411">
        <v>0.75</v>
      </c>
      <c r="E12" s="363">
        <v>2.85</v>
      </c>
      <c r="F12" s="269">
        <f>C12*E12</f>
        <v>12.825000000000001</v>
      </c>
    </row>
    <row r="13" spans="1:6" ht="27" customHeight="1">
      <c r="A13" s="243">
        <v>2</v>
      </c>
      <c r="B13" s="265" t="s">
        <v>589</v>
      </c>
      <c r="C13" s="403">
        <f>C5*D13</f>
        <v>0.60000000000000009</v>
      </c>
      <c r="D13" s="412">
        <v>0.1</v>
      </c>
      <c r="E13" s="501">
        <v>2.5499999999999998</v>
      </c>
      <c r="F13" s="284">
        <f>C13*E13</f>
        <v>1.53</v>
      </c>
    </row>
    <row r="14" spans="1:6" ht="27" customHeight="1">
      <c r="A14" s="243">
        <v>3</v>
      </c>
      <c r="B14" s="265" t="s">
        <v>231</v>
      </c>
      <c r="C14" s="403">
        <f>C5*D14</f>
        <v>0.60000000000000009</v>
      </c>
      <c r="D14" s="412">
        <v>0.1</v>
      </c>
      <c r="E14" s="363">
        <v>2.5499999999999998</v>
      </c>
      <c r="F14" s="284">
        <f>C14*E14</f>
        <v>1.53</v>
      </c>
    </row>
    <row r="15" spans="1:6" ht="27" customHeight="1">
      <c r="A15" s="243">
        <v>4</v>
      </c>
      <c r="B15" s="265" t="s">
        <v>149</v>
      </c>
      <c r="C15" s="404">
        <f>C5*D15</f>
        <v>0.30000000000000004</v>
      </c>
      <c r="D15" s="413">
        <v>0.05</v>
      </c>
      <c r="E15" s="363">
        <v>2.4500000000000002</v>
      </c>
      <c r="F15" s="274">
        <f>C15*E15</f>
        <v>0.73500000000000021</v>
      </c>
    </row>
    <row r="16" spans="1:6" s="255" customFormat="1" ht="27" customHeight="1">
      <c r="A16" s="275"/>
      <c r="B16" s="261"/>
      <c r="C16" s="276"/>
      <c r="D16" s="277"/>
      <c r="E16" s="278"/>
      <c r="F16" s="279"/>
    </row>
    <row r="17" spans="1:6" s="255" customFormat="1" ht="27" customHeight="1">
      <c r="A17" s="275"/>
      <c r="B17" s="259" t="s">
        <v>337</v>
      </c>
      <c r="C17" s="260" t="s">
        <v>216</v>
      </c>
      <c r="D17" s="280" t="s">
        <v>594</v>
      </c>
      <c r="E17" s="281" t="s">
        <v>336</v>
      </c>
      <c r="F17" s="279"/>
    </row>
    <row r="18" spans="1:6" ht="27" customHeight="1">
      <c r="A18" s="243">
        <v>3</v>
      </c>
      <c r="B18" s="265" t="s">
        <v>612</v>
      </c>
      <c r="C18" s="396">
        <f>D18*D5</f>
        <v>39</v>
      </c>
      <c r="D18" s="503">
        <v>1</v>
      </c>
      <c r="E18" s="504">
        <v>49.5</v>
      </c>
      <c r="F18" s="269">
        <f>(C18/1000)*E18</f>
        <v>1.9305000000000001</v>
      </c>
    </row>
    <row r="19" spans="1:6" ht="27" customHeight="1">
      <c r="A19" s="243">
        <v>4</v>
      </c>
      <c r="B19" s="265" t="s">
        <v>593</v>
      </c>
      <c r="C19" s="397">
        <f>D19*D5</f>
        <v>19.5</v>
      </c>
      <c r="D19" s="505">
        <v>0.5</v>
      </c>
      <c r="E19" s="363">
        <v>88</v>
      </c>
      <c r="F19" s="284">
        <f>(C19/1000)*E19</f>
        <v>1.716</v>
      </c>
    </row>
    <row r="20" spans="1:6" ht="27" customHeight="1">
      <c r="A20" s="243">
        <v>5</v>
      </c>
      <c r="B20" s="265" t="s">
        <v>590</v>
      </c>
      <c r="C20" s="398">
        <f>D20*D5</f>
        <v>19.5</v>
      </c>
      <c r="D20" s="502">
        <v>0.5</v>
      </c>
      <c r="E20" s="363">
        <v>80</v>
      </c>
      <c r="F20" s="274">
        <f>(C20/1000)*E20</f>
        <v>1.56</v>
      </c>
    </row>
    <row r="21" spans="1:6" s="255" customFormat="1" ht="27" customHeight="1">
      <c r="A21" s="275"/>
      <c r="B21" s="261"/>
      <c r="C21" s="277"/>
      <c r="D21" s="276"/>
      <c r="E21" s="278"/>
      <c r="F21" s="279"/>
    </row>
    <row r="22" spans="1:6" s="255" customFormat="1" ht="27" customHeight="1">
      <c r="A22" s="275"/>
      <c r="B22" s="259" t="s">
        <v>355</v>
      </c>
      <c r="C22" s="280"/>
      <c r="D22" s="532"/>
      <c r="E22" s="281" t="s">
        <v>448</v>
      </c>
      <c r="F22" s="279"/>
    </row>
    <row r="23" spans="1:6" ht="27" customHeight="1">
      <c r="A23" s="243">
        <v>6</v>
      </c>
      <c r="B23" s="265" t="s">
        <v>613</v>
      </c>
      <c r="C23" s="287"/>
      <c r="D23" s="431">
        <v>1</v>
      </c>
      <c r="E23" s="363">
        <v>4.0999999999999996</v>
      </c>
      <c r="F23" s="269">
        <f>D23*E23</f>
        <v>4.0999999999999996</v>
      </c>
    </row>
    <row r="24" spans="1:6" ht="27" customHeight="1">
      <c r="A24" s="243">
        <v>7</v>
      </c>
      <c r="B24" s="265" t="s">
        <v>25</v>
      </c>
      <c r="C24" s="267"/>
      <c r="D24" s="466">
        <f>F5+2</f>
        <v>62</v>
      </c>
      <c r="E24" s="363">
        <v>2.8000000000000001E-2</v>
      </c>
      <c r="F24" s="284">
        <f>D24*E24</f>
        <v>1.736</v>
      </c>
    </row>
    <row r="25" spans="1:6" ht="27" customHeight="1">
      <c r="A25" s="243">
        <v>8</v>
      </c>
      <c r="B25" s="265" t="s">
        <v>356</v>
      </c>
      <c r="D25" s="433">
        <f>C5</f>
        <v>6</v>
      </c>
      <c r="E25" s="363">
        <v>0.25</v>
      </c>
      <c r="F25" s="284">
        <f>D25*E25</f>
        <v>1.5</v>
      </c>
    </row>
    <row r="26" spans="1:6" ht="27" customHeight="1">
      <c r="A26" s="243">
        <v>9</v>
      </c>
      <c r="B26" s="524" t="s">
        <v>403</v>
      </c>
      <c r="D26" s="533">
        <v>1</v>
      </c>
      <c r="E26" s="268">
        <v>1.3</v>
      </c>
      <c r="F26" s="274">
        <f>D26*E26</f>
        <v>1.3</v>
      </c>
    </row>
    <row r="27" spans="1:6" ht="27" customHeight="1">
      <c r="A27" s="243">
        <v>10</v>
      </c>
      <c r="B27" s="514" t="s">
        <v>43</v>
      </c>
      <c r="E27" s="268"/>
      <c r="F27" s="296">
        <v>5.92</v>
      </c>
    </row>
    <row r="28" spans="1:6" ht="27" customHeight="1">
      <c r="E28" s="268"/>
    </row>
    <row r="29" spans="1:6" ht="27" customHeight="1">
      <c r="B29" s="261" t="s">
        <v>52</v>
      </c>
      <c r="E29" s="268"/>
      <c r="F29" s="294"/>
    </row>
    <row r="30" spans="1:6" ht="27" customHeight="1">
      <c r="B30" s="490" t="s">
        <v>565</v>
      </c>
      <c r="C30" s="490"/>
      <c r="D30" s="490"/>
      <c r="E30" s="491"/>
      <c r="F30" s="296">
        <v>2</v>
      </c>
    </row>
    <row r="31" spans="1:6" ht="27" customHeight="1">
      <c r="D31" s="297"/>
      <c r="F31" s="297"/>
    </row>
    <row r="32" spans="1:6" ht="27" customHeight="1">
      <c r="B32" s="299"/>
      <c r="C32" s="373"/>
      <c r="D32" s="297"/>
    </row>
    <row r="33" spans="1:8" ht="27" customHeight="1">
      <c r="A33" s="261"/>
      <c r="B33" s="563" t="str">
        <f>("ГРАФИК"&amp;" "&amp;B3)</f>
        <v>ГРАФИК RAUCH BIER</v>
      </c>
      <c r="C33" s="299" t="s">
        <v>441</v>
      </c>
      <c r="D33" s="448">
        <v>42645</v>
      </c>
      <c r="E33" s="449">
        <v>0.53472222222222221</v>
      </c>
    </row>
    <row r="34" spans="1:8" ht="27" customHeight="1">
      <c r="A34" s="261"/>
      <c r="B34" s="261" t="s">
        <v>527</v>
      </c>
      <c r="C34" s="391" t="s">
        <v>99</v>
      </c>
      <c r="D34" s="391" t="s">
        <v>100</v>
      </c>
      <c r="E34" s="391" t="s">
        <v>101</v>
      </c>
    </row>
    <row r="35" spans="1:8" ht="27" customHeight="1">
      <c r="B35" s="447" t="s">
        <v>533</v>
      </c>
      <c r="C35" s="407">
        <f>C5*3</f>
        <v>18</v>
      </c>
      <c r="D35" s="407">
        <f>C5*6</f>
        <v>36</v>
      </c>
      <c r="E35" s="253">
        <f>SUM(C35:D35)</f>
        <v>54</v>
      </c>
      <c r="F35" s="270"/>
    </row>
    <row r="36" spans="1:8" s="325" customFormat="1" ht="27" customHeight="1">
      <c r="A36" s="434">
        <v>1</v>
      </c>
      <c r="B36" s="325" t="s">
        <v>487</v>
      </c>
      <c r="C36" s="435"/>
      <c r="E36" s="436"/>
      <c r="F36" s="437"/>
    </row>
    <row r="37" spans="1:8" ht="27" customHeight="1">
      <c r="A37" s="434">
        <v>2</v>
      </c>
      <c r="B37" s="265" t="s">
        <v>650</v>
      </c>
      <c r="C37" s="419">
        <v>1.0416666666666666E-2</v>
      </c>
      <c r="D37" s="420">
        <v>0.50694444444444442</v>
      </c>
      <c r="E37" s="421">
        <f>IF(D37=0," ",D37+C37)</f>
        <v>0.51736111111111105</v>
      </c>
      <c r="H37" s="270"/>
    </row>
    <row r="38" spans="1:8" ht="27" customHeight="1">
      <c r="A38" s="434">
        <v>3</v>
      </c>
      <c r="B38" s="261" t="s">
        <v>607</v>
      </c>
      <c r="C38" s="419">
        <v>2.7777777777777776E-2</v>
      </c>
      <c r="D38" s="420">
        <v>0.52083333333333337</v>
      </c>
      <c r="E38" s="421">
        <f>IF(D38=0," ",D38+C38)</f>
        <v>0.54861111111111116</v>
      </c>
      <c r="H38" s="270"/>
    </row>
    <row r="39" spans="1:8" ht="27" customHeight="1">
      <c r="A39" s="434">
        <v>4</v>
      </c>
      <c r="B39" s="261" t="s">
        <v>674</v>
      </c>
      <c r="C39" s="419">
        <v>2.7777777777777776E-2</v>
      </c>
      <c r="D39" s="420">
        <v>0.57638888888888895</v>
      </c>
      <c r="E39" s="421">
        <f>IF(D39=0," ",D39+C39)</f>
        <v>0.60416666666666674</v>
      </c>
    </row>
    <row r="40" spans="1:8" ht="27" customHeight="1">
      <c r="A40" s="434">
        <v>5</v>
      </c>
      <c r="B40" s="261" t="s">
        <v>536</v>
      </c>
    </row>
    <row r="41" spans="1:8" ht="27" customHeight="1">
      <c r="A41" s="434">
        <v>6</v>
      </c>
      <c r="B41" s="261" t="s">
        <v>578</v>
      </c>
    </row>
    <row r="42" spans="1:8" s="298" customFormat="1" ht="20.100000000000001" customHeight="1">
      <c r="A42" s="517"/>
      <c r="B42" s="339"/>
      <c r="C42" s="408"/>
      <c r="D42" s="409"/>
      <c r="E42" s="445"/>
    </row>
    <row r="43" spans="1:8" ht="27" customHeight="1">
      <c r="A43" s="434">
        <v>7</v>
      </c>
      <c r="B43" s="301" t="s">
        <v>583</v>
      </c>
      <c r="C43" s="395" t="s">
        <v>602</v>
      </c>
      <c r="D43" s="420"/>
      <c r="E43" s="420"/>
    </row>
    <row r="44" spans="1:8" ht="27" customHeight="1">
      <c r="A44" s="434">
        <v>8</v>
      </c>
      <c r="B44" s="515" t="s">
        <v>599</v>
      </c>
      <c r="C44" s="408" t="s">
        <v>458</v>
      </c>
      <c r="D44" s="409" t="s">
        <v>459</v>
      </c>
      <c r="E44" s="409" t="s">
        <v>460</v>
      </c>
    </row>
    <row r="45" spans="1:8" ht="27" customHeight="1">
      <c r="A45" s="434">
        <v>9</v>
      </c>
      <c r="B45" s="244" t="s">
        <v>457</v>
      </c>
      <c r="C45" s="417">
        <v>19.5</v>
      </c>
      <c r="D45" s="417">
        <v>2.5</v>
      </c>
      <c r="E45" s="417">
        <v>12</v>
      </c>
    </row>
    <row r="46" spans="1:8" ht="27" customHeight="1">
      <c r="A46" s="434">
        <v>10</v>
      </c>
      <c r="B46" s="244" t="s">
        <v>605</v>
      </c>
      <c r="C46" s="525" t="s">
        <v>606</v>
      </c>
      <c r="D46" s="416">
        <v>0</v>
      </c>
      <c r="E46" s="417">
        <v>0</v>
      </c>
    </row>
    <row r="47" spans="1:8" ht="27" customHeight="1">
      <c r="A47" s="434">
        <v>11</v>
      </c>
      <c r="B47" s="261" t="s">
        <v>588</v>
      </c>
      <c r="C47" s="526" t="s">
        <v>614</v>
      </c>
      <c r="D47" s="312">
        <v>0</v>
      </c>
      <c r="E47" s="313">
        <v>0</v>
      </c>
    </row>
    <row r="48" spans="1:8" ht="27" customHeight="1">
      <c r="A48" s="434">
        <v>12</v>
      </c>
      <c r="B48" s="515" t="s">
        <v>600</v>
      </c>
      <c r="C48" s="516"/>
      <c r="D48" s="519" t="s">
        <v>581</v>
      </c>
      <c r="E48" s="312">
        <v>24.1</v>
      </c>
    </row>
    <row r="49" spans="1:6" s="298" customFormat="1" ht="20.100000000000001" customHeight="1">
      <c r="A49" s="517"/>
      <c r="B49" s="339"/>
      <c r="C49" s="516"/>
      <c r="D49" s="520"/>
      <c r="E49" s="445"/>
    </row>
    <row r="50" spans="1:6" ht="27" customHeight="1">
      <c r="A50" s="434">
        <v>13</v>
      </c>
      <c r="B50" s="301" t="s">
        <v>380</v>
      </c>
      <c r="C50" s="395" t="s">
        <v>603</v>
      </c>
      <c r="D50" s="518">
        <v>2.7777777777777776E-2</v>
      </c>
      <c r="E50" s="449">
        <v>0.6479166666666667</v>
      </c>
    </row>
    <row r="51" spans="1:6" ht="27" customHeight="1">
      <c r="A51" s="434">
        <v>14</v>
      </c>
      <c r="B51" s="317" t="str">
        <f t="shared" ref="B51:C51" si="0">B18</f>
        <v>MAGNUM   (горчив:  13,8%)</v>
      </c>
      <c r="C51" s="405">
        <f t="shared" si="0"/>
        <v>39</v>
      </c>
      <c r="D51" s="419">
        <v>1.7361111111111112E-2</v>
      </c>
      <c r="E51" s="508">
        <f>IF(E50=0," ",E52-D51)</f>
        <v>0.65833333333333333</v>
      </c>
    </row>
    <row r="52" spans="1:6" ht="27" customHeight="1">
      <c r="A52" s="434">
        <v>17</v>
      </c>
      <c r="B52" s="319" t="s">
        <v>340</v>
      </c>
      <c r="D52" s="395" t="s">
        <v>497</v>
      </c>
      <c r="E52" s="419">
        <f>IF(E50=0," ",E50+D50)</f>
        <v>0.67569444444444449</v>
      </c>
      <c r="F52" s="322"/>
    </row>
    <row r="53" spans="1:6" s="298" customFormat="1" ht="20.100000000000001" customHeight="1">
      <c r="A53" s="517"/>
      <c r="B53" s="339"/>
      <c r="C53" s="516"/>
      <c r="D53" s="520"/>
      <c r="E53" s="445"/>
    </row>
    <row r="54" spans="1:6" ht="27" customHeight="1">
      <c r="A54" s="434">
        <v>18</v>
      </c>
      <c r="B54" s="441" t="s">
        <v>631</v>
      </c>
      <c r="C54" s="449"/>
      <c r="D54" s="449"/>
      <c r="E54" s="421" t="str">
        <f>IF(D54=0," ",D54+C54)</f>
        <v/>
      </c>
      <c r="F54" s="305"/>
    </row>
    <row r="55" spans="1:6" ht="27" customHeight="1">
      <c r="A55" s="434">
        <v>19</v>
      </c>
      <c r="B55" s="515" t="s">
        <v>595</v>
      </c>
      <c r="C55" s="314"/>
      <c r="D55" s="314"/>
      <c r="E55" s="457">
        <v>31</v>
      </c>
    </row>
    <row r="56" spans="1:6" ht="27" customHeight="1">
      <c r="A56" s="434">
        <v>20</v>
      </c>
      <c r="B56" s="514" t="s">
        <v>596</v>
      </c>
      <c r="C56" s="515"/>
      <c r="D56" s="515"/>
      <c r="E56" s="417">
        <v>12.5</v>
      </c>
      <c r="F56" s="305"/>
    </row>
    <row r="57" spans="1:6" ht="27" customHeight="1">
      <c r="A57" s="434">
        <v>21</v>
      </c>
      <c r="B57" s="261" t="s">
        <v>324</v>
      </c>
      <c r="E57" s="261"/>
    </row>
    <row r="58" spans="1:6" ht="27" customHeight="1">
      <c r="A58" s="434">
        <v>22</v>
      </c>
      <c r="B58" s="261" t="s">
        <v>601</v>
      </c>
      <c r="D58" s="395" t="s">
        <v>617</v>
      </c>
      <c r="E58" s="449">
        <v>0.97916666666666663</v>
      </c>
    </row>
    <row r="59" spans="1:6" s="298" customFormat="1" ht="20.100000000000001" customHeight="1">
      <c r="A59" s="517"/>
      <c r="B59" s="339"/>
      <c r="C59" s="516"/>
      <c r="D59" s="516"/>
      <c r="E59" s="445"/>
    </row>
    <row r="60" spans="1:6" ht="27" customHeight="1">
      <c r="A60" s="434">
        <v>23</v>
      </c>
      <c r="B60" s="713" t="s">
        <v>626</v>
      </c>
      <c r="C60" s="713"/>
      <c r="D60" s="713"/>
      <c r="E60" s="713"/>
      <c r="F60" s="305"/>
    </row>
    <row r="61" spans="1:6" s="317" customFormat="1" ht="27" customHeight="1">
      <c r="A61" s="434">
        <v>24</v>
      </c>
      <c r="B61" s="709" t="s">
        <v>597</v>
      </c>
      <c r="C61" s="709"/>
      <c r="D61" s="710"/>
      <c r="E61" s="417">
        <v>3.8</v>
      </c>
      <c r="F61" s="324"/>
    </row>
    <row r="62" spans="1:6" s="317" customFormat="1" ht="27" customHeight="1">
      <c r="A62" s="434"/>
      <c r="B62" s="540"/>
      <c r="C62" s="540"/>
      <c r="D62" s="339"/>
      <c r="E62" s="417"/>
      <c r="F62" s="324"/>
    </row>
    <row r="63" spans="1:6" s="317" customFormat="1" ht="27" customHeight="1">
      <c r="A63" s="434"/>
      <c r="B63" s="540" t="s">
        <v>627</v>
      </c>
      <c r="C63" s="449">
        <v>0.51388888888888895</v>
      </c>
      <c r="D63" s="449">
        <v>0.53472222222222221</v>
      </c>
      <c r="E63" s="449">
        <v>2.0833333333333332E-2</v>
      </c>
      <c r="F63" s="324"/>
    </row>
    <row r="64" spans="1:6" s="317" customFormat="1" ht="27" customHeight="1">
      <c r="A64" s="434"/>
      <c r="B64" s="540" t="s">
        <v>628</v>
      </c>
      <c r="C64" s="449">
        <v>0.53472222222222221</v>
      </c>
      <c r="D64" s="449">
        <v>0.55555555555555558</v>
      </c>
      <c r="E64" s="449">
        <v>2.0833333333333332E-2</v>
      </c>
      <c r="F64" s="324"/>
    </row>
    <row r="65" spans="1:6" s="317" customFormat="1" ht="27" customHeight="1">
      <c r="A65" s="434"/>
      <c r="B65" s="540" t="s">
        <v>629</v>
      </c>
      <c r="C65" s="540"/>
      <c r="D65" s="339"/>
      <c r="E65" s="449">
        <v>4.8611111111111112E-3</v>
      </c>
      <c r="F65" s="324"/>
    </row>
    <row r="66" spans="1:6" s="317" customFormat="1" ht="27" customHeight="1">
      <c r="A66" s="434"/>
      <c r="B66" s="540" t="s">
        <v>630</v>
      </c>
      <c r="C66" s="449">
        <v>0.5625</v>
      </c>
      <c r="D66" s="449"/>
      <c r="E66" s="421" t="str">
        <f>IF(D66=0," ",D66-C66)</f>
        <v/>
      </c>
      <c r="F66" s="324"/>
    </row>
    <row r="67" spans="1:6" s="317" customFormat="1" ht="27" customHeight="1">
      <c r="A67" s="434"/>
      <c r="B67" s="540"/>
      <c r="C67" s="540"/>
      <c r="D67" s="339"/>
      <c r="E67" s="417"/>
      <c r="F67" s="324"/>
    </row>
    <row r="68" spans="1:6" s="317" customFormat="1" ht="27" customHeight="1">
      <c r="A68" s="434"/>
      <c r="B68" s="540"/>
      <c r="C68" s="540"/>
      <c r="D68" s="339"/>
      <c r="E68" s="417"/>
      <c r="F68" s="324"/>
    </row>
    <row r="69" spans="1:6" s="317" customFormat="1" ht="27" customHeight="1">
      <c r="A69" s="434"/>
      <c r="B69" s="529" t="s">
        <v>618</v>
      </c>
      <c r="C69" s="529"/>
      <c r="D69" s="339"/>
      <c r="E69" s="417"/>
      <c r="F69" s="324"/>
    </row>
    <row r="70" spans="1:6" ht="27" customHeight="1">
      <c r="A70" s="434">
        <v>14</v>
      </c>
      <c r="B70" s="317" t="str">
        <f>B19</f>
        <v>Жатец  (ароматен: 3,17%)</v>
      </c>
      <c r="C70" s="405">
        <f>C19</f>
        <v>19.5</v>
      </c>
      <c r="D70" s="419">
        <v>1.7361111111111112E-2</v>
      </c>
      <c r="E70" s="508" t="str">
        <f>IF(E69=0," ",E71-D70)</f>
        <v/>
      </c>
    </row>
    <row r="71" spans="1:6" s="317" customFormat="1" ht="27" customHeight="1">
      <c r="A71" s="434"/>
      <c r="B71" s="529"/>
      <c r="C71" s="529"/>
      <c r="D71" s="339"/>
      <c r="E71" s="417"/>
      <c r="F71" s="324"/>
    </row>
    <row r="72" spans="1:6" s="317" customFormat="1" ht="27" customHeight="1">
      <c r="A72" s="434"/>
      <c r="B72" s="529"/>
      <c r="C72" s="449">
        <v>0.72222222222222221</v>
      </c>
      <c r="D72" s="449">
        <v>0.76736111111111116</v>
      </c>
      <c r="E72" s="421">
        <f>IF(D72=0," ",D72-C72)</f>
        <v>4.5138888888888951E-2</v>
      </c>
      <c r="F72" s="324"/>
    </row>
    <row r="73" spans="1:6" s="317" customFormat="1" ht="27" customHeight="1">
      <c r="A73" s="434">
        <v>25</v>
      </c>
      <c r="B73" s="514" t="s">
        <v>598</v>
      </c>
      <c r="C73" s="261"/>
      <c r="D73" s="320" t="s">
        <v>515</v>
      </c>
      <c r="E73" s="448"/>
      <c r="F73" s="324"/>
    </row>
    <row r="74" spans="1:6" s="317" customFormat="1" ht="27" customHeight="1">
      <c r="A74" s="434">
        <v>26</v>
      </c>
      <c r="B74" s="527" t="s">
        <v>608</v>
      </c>
      <c r="C74" s="261"/>
      <c r="D74" s="320"/>
      <c r="E74" s="448"/>
      <c r="F74" s="324"/>
    </row>
    <row r="76" spans="1:6" s="298" customFormat="1" ht="27" customHeight="1">
      <c r="A76" s="337"/>
      <c r="B76" s="480" t="s">
        <v>555</v>
      </c>
      <c r="D76" s="488"/>
      <c r="E76" s="481">
        <f>IF(E58=0," ",E58-E33)</f>
        <v>0.44444444444444442</v>
      </c>
      <c r="F76" s="261"/>
    </row>
    <row r="77" spans="1:6" s="298" customFormat="1" ht="27" customHeight="1">
      <c r="A77" s="337"/>
      <c r="B77" s="354" t="s">
        <v>556</v>
      </c>
      <c r="E77" s="482" t="str">
        <f>IF(D54=0," ",(E54-D54))</f>
        <v/>
      </c>
    </row>
    <row r="78" spans="1:6" s="298" customFormat="1" ht="27" customHeight="1">
      <c r="A78" s="337"/>
      <c r="B78" s="357" t="s">
        <v>562</v>
      </c>
      <c r="D78" s="488"/>
      <c r="E78" s="523"/>
      <c r="F78" s="261"/>
    </row>
    <row r="79" spans="1:6" s="298" customFormat="1" ht="27" customHeight="1">
      <c r="A79" s="337"/>
      <c r="E79" s="507"/>
    </row>
    <row r="80" spans="1:6" s="325" customFormat="1" ht="27" customHeight="1">
      <c r="B80" s="326" t="s">
        <v>71</v>
      </c>
      <c r="E80" s="461"/>
    </row>
    <row r="81" spans="1:6" s="325" customFormat="1" ht="27" customHeight="1">
      <c r="B81" s="327" t="s">
        <v>416</v>
      </c>
      <c r="E81" s="456"/>
    </row>
    <row r="82" spans="1:6" s="325" customFormat="1" ht="27" customHeight="1">
      <c r="B82" s="328" t="s">
        <v>366</v>
      </c>
      <c r="E82" s="457"/>
    </row>
    <row r="83" spans="1:6" s="325" customFormat="1" ht="27" customHeight="1">
      <c r="B83" s="328" t="s">
        <v>75</v>
      </c>
      <c r="E83" s="331">
        <v>6</v>
      </c>
      <c r="F83" s="474" t="s">
        <v>566</v>
      </c>
    </row>
    <row r="84" spans="1:6" s="325" customFormat="1" ht="27" customHeight="1">
      <c r="B84" s="328" t="s">
        <v>414</v>
      </c>
      <c r="E84" s="331" t="str">
        <f>IF(E81=0," ",(1*E81*10*80%))</f>
        <v/>
      </c>
      <c r="F84" s="325" t="s">
        <v>567</v>
      </c>
    </row>
    <row r="85" spans="1:6" s="325" customFormat="1" ht="27" customHeight="1">
      <c r="B85" s="332" t="s">
        <v>415</v>
      </c>
      <c r="E85" s="333" t="str">
        <f>IF(E82=0," ",E82*E83/E84)</f>
        <v/>
      </c>
      <c r="F85" s="325" t="s">
        <v>604</v>
      </c>
    </row>
    <row r="86" spans="1:6" s="325" customFormat="1" ht="27" customHeight="1">
      <c r="B86" s="334"/>
      <c r="D86" s="335"/>
      <c r="E86" s="461"/>
    </row>
    <row r="87" spans="1:6" ht="27" customHeight="1">
      <c r="B87" s="336" t="s">
        <v>548</v>
      </c>
      <c r="C87" s="305"/>
      <c r="D87" s="305"/>
    </row>
    <row r="88" spans="1:6" s="298" customFormat="1" ht="27" customHeight="1">
      <c r="A88" s="337"/>
      <c r="B88" s="338" t="s">
        <v>413</v>
      </c>
      <c r="C88" s="339"/>
      <c r="D88" s="339"/>
      <c r="E88" s="458">
        <f>IF(E56=0," ",((E56-E61)*0.52))</f>
        <v>4.524</v>
      </c>
    </row>
    <row r="89" spans="1:6" s="298" customFormat="1" ht="27" customHeight="1">
      <c r="A89" s="337"/>
      <c r="B89" s="342" t="s">
        <v>223</v>
      </c>
      <c r="C89" s="339"/>
      <c r="D89" s="339"/>
      <c r="E89" s="459">
        <f>IF(E56=0," ",E56)</f>
        <v>12.5</v>
      </c>
    </row>
    <row r="90" spans="1:6" s="298" customFormat="1" ht="27" customHeight="1">
      <c r="A90" s="337"/>
      <c r="B90" s="344" t="s">
        <v>219</v>
      </c>
      <c r="C90" s="345"/>
      <c r="D90" s="345"/>
      <c r="E90" s="392">
        <v>20</v>
      </c>
    </row>
    <row r="91" spans="1:6" s="298" customFormat="1" ht="27" customHeight="1">
      <c r="A91" s="337"/>
      <c r="B91" s="344" t="s">
        <v>218</v>
      </c>
      <c r="C91" s="347"/>
      <c r="E91" s="453">
        <v>8.1</v>
      </c>
    </row>
    <row r="92" spans="1:6" s="298" customFormat="1" ht="27" customHeight="1">
      <c r="A92" s="337"/>
      <c r="B92" s="349" t="s">
        <v>224</v>
      </c>
      <c r="C92" s="345"/>
      <c r="D92" s="345"/>
      <c r="E92" s="454">
        <f>IF(E56=0," ",(E56/(258.6-((E56/258.2)*227.1)))+1)</f>
        <v>1.0504835076519858</v>
      </c>
    </row>
    <row r="93" spans="1:6" s="298" customFormat="1" ht="27" customHeight="1">
      <c r="A93" s="337"/>
      <c r="B93" s="351" t="s">
        <v>225</v>
      </c>
      <c r="C93" s="345"/>
      <c r="D93" s="345"/>
      <c r="E93" s="455">
        <f>IF(E61=0," ",((E61/(258.6-((E61/258.2)*227.1))) + 1))</f>
        <v>1.0148869158217708</v>
      </c>
    </row>
    <row r="94" spans="1:6" ht="27" customHeight="1">
      <c r="B94" s="317"/>
      <c r="F94"/>
    </row>
    <row r="95" spans="1:6" s="298" customFormat="1" ht="27" customHeight="1">
      <c r="A95" s="337"/>
      <c r="B95" s="374" t="s">
        <v>154</v>
      </c>
      <c r="E95" s="353">
        <f>((E96*E97)/E98)/100</f>
        <v>0.64583333333333326</v>
      </c>
    </row>
    <row r="96" spans="1:6" s="298" customFormat="1" ht="27" customHeight="1">
      <c r="A96" s="337"/>
      <c r="B96" s="354" t="s">
        <v>510</v>
      </c>
      <c r="E96" s="355">
        <f>E55</f>
        <v>31</v>
      </c>
    </row>
    <row r="97" spans="1:6" s="298" customFormat="1" ht="27" customHeight="1">
      <c r="A97" s="337"/>
      <c r="B97" s="354" t="s">
        <v>361</v>
      </c>
      <c r="E97" s="356">
        <f>E56</f>
        <v>12.5</v>
      </c>
    </row>
    <row r="98" spans="1:6" s="298" customFormat="1" ht="27" customHeight="1">
      <c r="A98" s="337"/>
      <c r="B98" s="357" t="s">
        <v>153</v>
      </c>
      <c r="E98" s="415">
        <f>C5</f>
        <v>6</v>
      </c>
    </row>
    <row r="99" spans="1:6" s="298" customFormat="1" ht="27" customHeight="1">
      <c r="A99" s="337"/>
      <c r="E99" s="347"/>
    </row>
    <row r="100" spans="1:6" s="298" customFormat="1" ht="27" customHeight="1">
      <c r="A100" s="337"/>
      <c r="E100" s="347"/>
    </row>
    <row r="101" spans="1:6" s="298" customFormat="1" ht="27" customHeight="1">
      <c r="A101" s="337"/>
      <c r="B101" s="359"/>
      <c r="E101" s="347"/>
    </row>
    <row r="102" spans="1:6" s="298" customFormat="1" ht="27" customHeight="1">
      <c r="A102" s="337"/>
      <c r="E102" s="347"/>
    </row>
    <row r="103" spans="1:6" s="298" customFormat="1" ht="27" customHeight="1">
      <c r="A103" s="337"/>
      <c r="B103" s="359" t="s">
        <v>220</v>
      </c>
      <c r="E103" s="347"/>
    </row>
    <row r="104" spans="1:6" s="298" customFormat="1" ht="27" customHeight="1">
      <c r="A104" s="337"/>
      <c r="B104" s="298" t="s">
        <v>553</v>
      </c>
      <c r="E104" s="347"/>
    </row>
    <row r="105" spans="1:6" s="298" customFormat="1" ht="27" customHeight="1">
      <c r="A105" s="337"/>
      <c r="B105" s="298" t="s">
        <v>544</v>
      </c>
      <c r="E105" s="347"/>
    </row>
    <row r="106" spans="1:6" ht="27" customHeight="1">
      <c r="B106" s="317" t="s">
        <v>545</v>
      </c>
    </row>
    <row r="107" spans="1:6" ht="27" customHeight="1">
      <c r="B107" s="317" t="s">
        <v>546</v>
      </c>
      <c r="F107"/>
    </row>
    <row r="108" spans="1:6" ht="27" customHeight="1">
      <c r="B108" s="317" t="s">
        <v>550</v>
      </c>
      <c r="F108"/>
    </row>
    <row r="109" spans="1:6" ht="27" customHeight="1">
      <c r="B109" s="317" t="s">
        <v>549</v>
      </c>
      <c r="F109"/>
    </row>
    <row r="110" spans="1:6" ht="27" customHeight="1">
      <c r="B110" s="317" t="s">
        <v>551</v>
      </c>
      <c r="F110"/>
    </row>
    <row r="111" spans="1:6" ht="27" customHeight="1">
      <c r="B111" s="317" t="s">
        <v>552</v>
      </c>
      <c r="F111"/>
    </row>
    <row r="112" spans="1:6" ht="27" customHeight="1">
      <c r="B112" s="317"/>
      <c r="F112"/>
    </row>
    <row r="113" spans="1:6" ht="27" customHeight="1">
      <c r="F113"/>
    </row>
    <row r="114" spans="1:6" ht="27" customHeight="1">
      <c r="F114"/>
    </row>
    <row r="115" spans="1:6" ht="27" customHeight="1">
      <c r="B115" s="255"/>
      <c r="C115" s="498"/>
      <c r="F115"/>
    </row>
    <row r="116" spans="1:6" ht="27" customHeight="1">
      <c r="B116" s="255"/>
      <c r="C116" s="499"/>
      <c r="F116"/>
    </row>
    <row r="117" spans="1:6" ht="27" customHeight="1">
      <c r="B117" s="500"/>
      <c r="C117" s="499"/>
      <c r="F117"/>
    </row>
    <row r="118" spans="1:6" ht="27" customHeight="1">
      <c r="C118" s="486"/>
      <c r="F118"/>
    </row>
    <row r="119" spans="1:6" ht="27" customHeight="1">
      <c r="F119"/>
    </row>
    <row r="120" spans="1:6" ht="27" customHeight="1">
      <c r="B120" s="261" t="s">
        <v>560</v>
      </c>
      <c r="C120" s="484">
        <v>60</v>
      </c>
      <c r="F120"/>
    </row>
    <row r="121" spans="1:6" ht="27" customHeight="1">
      <c r="B121" s="261" t="s">
        <v>561</v>
      </c>
      <c r="C121" s="484">
        <v>20</v>
      </c>
      <c r="F121"/>
    </row>
    <row r="122" spans="1:6" ht="27" customHeight="1">
      <c r="A122" s="261"/>
      <c r="B122" s="255"/>
      <c r="C122" s="498"/>
      <c r="F122"/>
    </row>
    <row r="123" spans="1:6" ht="27" customHeight="1">
      <c r="A123" s="261"/>
      <c r="B123" s="261" t="s">
        <v>558</v>
      </c>
      <c r="C123" s="484">
        <v>10</v>
      </c>
      <c r="F123"/>
    </row>
    <row r="124" spans="1:6" ht="27" customHeight="1">
      <c r="A124" s="261"/>
      <c r="C124" s="487">
        <f>SUM(C120:C123)</f>
        <v>90</v>
      </c>
      <c r="F124"/>
    </row>
    <row r="125" spans="1:6" ht="27" customHeight="1">
      <c r="A125" s="261"/>
      <c r="F125"/>
    </row>
    <row r="126" spans="1:6" ht="27" customHeight="1">
      <c r="A126" s="261"/>
      <c r="C126" s="485">
        <f>C124+C115</f>
        <v>90</v>
      </c>
      <c r="F126"/>
    </row>
    <row r="127" spans="1:6" ht="27" customHeight="1">
      <c r="A127" s="261"/>
      <c r="F127"/>
    </row>
    <row r="128" spans="1:6" ht="27" customHeight="1">
      <c r="A128" s="261"/>
      <c r="F128"/>
    </row>
    <row r="129" spans="1:6" ht="27" customHeight="1">
      <c r="A129" s="261"/>
      <c r="F129"/>
    </row>
    <row r="130" spans="1:6" ht="27" customHeight="1">
      <c r="A130" s="261"/>
      <c r="F130"/>
    </row>
    <row r="131" spans="1:6" ht="27" customHeight="1">
      <c r="A131" s="261"/>
      <c r="F131"/>
    </row>
    <row r="132" spans="1:6" ht="27" customHeight="1">
      <c r="A132" s="261"/>
      <c r="F132"/>
    </row>
    <row r="133" spans="1:6" ht="27" customHeight="1">
      <c r="A133" s="261"/>
      <c r="F133"/>
    </row>
    <row r="134" spans="1:6" ht="27" customHeight="1">
      <c r="A134" s="261"/>
      <c r="F134"/>
    </row>
    <row r="135" spans="1:6" ht="27" customHeight="1">
      <c r="A135" s="261"/>
      <c r="F135"/>
    </row>
    <row r="136" spans="1:6" ht="27" customHeight="1">
      <c r="A136" s="261"/>
      <c r="F136"/>
    </row>
    <row r="137" spans="1:6" ht="27" customHeight="1">
      <c r="A137" s="261"/>
      <c r="F137"/>
    </row>
    <row r="138" spans="1:6" ht="27" customHeight="1">
      <c r="A138" s="261"/>
      <c r="F138"/>
    </row>
    <row r="139" spans="1:6" ht="27" customHeight="1">
      <c r="A139" s="261"/>
      <c r="F139"/>
    </row>
    <row r="140" spans="1:6" ht="27" customHeight="1">
      <c r="A140" s="261"/>
      <c r="F140"/>
    </row>
    <row r="141" spans="1:6" ht="27" customHeight="1">
      <c r="A141" s="261"/>
      <c r="F141"/>
    </row>
    <row r="142" spans="1:6" ht="27" customHeight="1">
      <c r="A142" s="261"/>
      <c r="F142"/>
    </row>
    <row r="143" spans="1:6" ht="27" customHeight="1">
      <c r="A143" s="261"/>
      <c r="F143"/>
    </row>
    <row r="144" spans="1:6" ht="27" customHeight="1">
      <c r="A144" s="261"/>
      <c r="F144"/>
    </row>
    <row r="145" spans="1:6" ht="27" customHeight="1">
      <c r="A145" s="261"/>
      <c r="F145"/>
    </row>
    <row r="146" spans="1:6" ht="27" customHeight="1">
      <c r="A146" s="261"/>
      <c r="F146"/>
    </row>
    <row r="147" spans="1:6" ht="27" customHeight="1">
      <c r="A147" s="261"/>
      <c r="F147"/>
    </row>
    <row r="148" spans="1:6" ht="27" customHeight="1">
      <c r="A148" s="261"/>
      <c r="F148"/>
    </row>
    <row r="149" spans="1:6" ht="27" customHeight="1">
      <c r="A149" s="261"/>
      <c r="F149"/>
    </row>
    <row r="150" spans="1:6" ht="27" customHeight="1">
      <c r="A150" s="261"/>
      <c r="F150"/>
    </row>
    <row r="151" spans="1:6" ht="27" customHeight="1">
      <c r="A151" s="261"/>
      <c r="F151"/>
    </row>
    <row r="152" spans="1:6" ht="27" customHeight="1">
      <c r="A152" s="261"/>
      <c r="F152"/>
    </row>
    <row r="153" spans="1:6" ht="27" customHeight="1">
      <c r="A153" s="261"/>
      <c r="F153"/>
    </row>
    <row r="154" spans="1:6" ht="27" customHeight="1">
      <c r="A154" s="261"/>
      <c r="F154"/>
    </row>
    <row r="155" spans="1:6" ht="27" customHeight="1">
      <c r="A155" s="261"/>
      <c r="F155"/>
    </row>
    <row r="156" spans="1:6" ht="27" customHeight="1">
      <c r="A156" s="261"/>
      <c r="F156"/>
    </row>
    <row r="157" spans="1:6" ht="27" customHeight="1">
      <c r="A157" s="261"/>
      <c r="F157"/>
    </row>
    <row r="158" spans="1:6" ht="27" customHeight="1">
      <c r="A158" s="261"/>
      <c r="F158"/>
    </row>
    <row r="159" spans="1:6" ht="27" customHeight="1">
      <c r="A159" s="261"/>
      <c r="F159"/>
    </row>
    <row r="160" spans="1:6" ht="27" customHeight="1">
      <c r="A160" s="261"/>
      <c r="F160"/>
    </row>
    <row r="161" spans="1:6" ht="27" customHeight="1">
      <c r="A161" s="261"/>
      <c r="F161"/>
    </row>
    <row r="162" spans="1:6" ht="27" customHeight="1">
      <c r="A162" s="261"/>
      <c r="F162"/>
    </row>
    <row r="163" spans="1:6" ht="27" customHeight="1">
      <c r="A163" s="261"/>
      <c r="F163"/>
    </row>
    <row r="164" spans="1:6" ht="27" customHeight="1">
      <c r="A164" s="261"/>
      <c r="F164"/>
    </row>
    <row r="165" spans="1:6" ht="27" customHeight="1">
      <c r="A165" s="261"/>
      <c r="F165"/>
    </row>
    <row r="166" spans="1:6" ht="27" customHeight="1">
      <c r="A166" s="261"/>
      <c r="F166"/>
    </row>
    <row r="167" spans="1:6" ht="27" customHeight="1">
      <c r="A167" s="261"/>
      <c r="F167"/>
    </row>
    <row r="168" spans="1:6" ht="27" customHeight="1">
      <c r="A168" s="261"/>
      <c r="F168"/>
    </row>
    <row r="169" spans="1:6" ht="27" customHeight="1">
      <c r="A169" s="261"/>
      <c r="F169"/>
    </row>
    <row r="170" spans="1:6" ht="27" customHeight="1">
      <c r="A170" s="261"/>
      <c r="F170"/>
    </row>
    <row r="171" spans="1:6" ht="27" customHeight="1">
      <c r="A171" s="261"/>
      <c r="F171"/>
    </row>
    <row r="172" spans="1:6" ht="27" customHeight="1">
      <c r="A172" s="261"/>
      <c r="F172"/>
    </row>
    <row r="173" spans="1:6" ht="27" customHeight="1">
      <c r="A173" s="261"/>
      <c r="F173"/>
    </row>
    <row r="174" spans="1:6" ht="27" customHeight="1">
      <c r="A174" s="261"/>
      <c r="F174"/>
    </row>
    <row r="175" spans="1:6" ht="27" customHeight="1">
      <c r="A175" s="261"/>
      <c r="F175"/>
    </row>
    <row r="176" spans="1:6" ht="27" customHeight="1">
      <c r="A176" s="261"/>
      <c r="F176"/>
    </row>
    <row r="177" spans="1:6" ht="27" customHeight="1">
      <c r="A177" s="261"/>
      <c r="F177"/>
    </row>
    <row r="178" spans="1:6" ht="27" customHeight="1">
      <c r="A178" s="261"/>
      <c r="F178"/>
    </row>
    <row r="179" spans="1:6" ht="27" customHeight="1">
      <c r="A179" s="261"/>
      <c r="F179"/>
    </row>
    <row r="180" spans="1:6" ht="27" customHeight="1">
      <c r="A180" s="261"/>
      <c r="F180"/>
    </row>
    <row r="181" spans="1:6" ht="27" customHeight="1">
      <c r="A181" s="261"/>
      <c r="F181"/>
    </row>
    <row r="182" spans="1:6" ht="27" customHeight="1">
      <c r="A182" s="261"/>
      <c r="F182"/>
    </row>
    <row r="183" spans="1:6" ht="27" customHeight="1">
      <c r="A183" s="261"/>
      <c r="F183"/>
    </row>
    <row r="184" spans="1:6" ht="27" customHeight="1">
      <c r="A184" s="261"/>
      <c r="F184"/>
    </row>
    <row r="185" spans="1:6" ht="27" customHeight="1">
      <c r="A185" s="261"/>
      <c r="F185"/>
    </row>
    <row r="186" spans="1:6" ht="27" customHeight="1">
      <c r="A186" s="261"/>
      <c r="F186"/>
    </row>
    <row r="187" spans="1:6" ht="27" customHeight="1">
      <c r="A187" s="261"/>
      <c r="F187"/>
    </row>
    <row r="188" spans="1:6" ht="27" customHeight="1">
      <c r="A188" s="261"/>
      <c r="F188"/>
    </row>
    <row r="189" spans="1:6" ht="27" customHeight="1">
      <c r="A189" s="261"/>
      <c r="F189"/>
    </row>
    <row r="190" spans="1:6" ht="27" customHeight="1">
      <c r="A190" s="261"/>
      <c r="F190"/>
    </row>
    <row r="191" spans="1:6" ht="27" customHeight="1">
      <c r="A191" s="261"/>
      <c r="F191"/>
    </row>
    <row r="192" spans="1:6" ht="27" customHeight="1">
      <c r="A192" s="261"/>
      <c r="F192"/>
    </row>
    <row r="193" spans="1:6" ht="27" customHeight="1">
      <c r="A193" s="261"/>
      <c r="F193"/>
    </row>
    <row r="194" spans="1:6" ht="27" customHeight="1">
      <c r="A194" s="261"/>
      <c r="F194"/>
    </row>
    <row r="195" spans="1:6" ht="27" customHeight="1">
      <c r="E195" s="462"/>
    </row>
  </sheetData>
  <sheetProtection selectLockedCells="1"/>
  <mergeCells count="2">
    <mergeCell ref="B60:E60"/>
    <mergeCell ref="B61:D61"/>
  </mergeCells>
  <conditionalFormatting sqref="E61:E62 E67:E69 E71">
    <cfRule type="expression" dxfId="13" priority="3">
      <formula>$E$61=0</formula>
    </cfRule>
  </conditionalFormatting>
  <conditionalFormatting sqref="E77">
    <cfRule type="expression" dxfId="12" priority="2">
      <formula>$E$77=0</formula>
    </cfRule>
  </conditionalFormatting>
  <conditionalFormatting sqref="E79">
    <cfRule type="expression" dxfId="11" priority="1">
      <formula>#REF!=0</formula>
    </cfRule>
  </conditionalFormatting>
  <hyperlinks>
    <hyperlink ref="B91" r:id="rId1"/>
    <hyperlink ref="B90" r:id="rId2"/>
    <hyperlink ref="B24" r:id="rId3" display="Капачки"/>
    <hyperlink ref="B25" r:id="rId4"/>
    <hyperlink ref="B18" r:id="rId5" display="MAGNUM   (горчив:  12,7%)"/>
    <hyperlink ref="B19" r:id="rId6" display="Жатец       10      (ароматен; чешки; алфа 3,4%)"/>
    <hyperlink ref="B2" r:id="rId7" display="Раух"/>
    <hyperlink ref="B14" r:id="rId8" display="Кара-Пилс малц"/>
    <hyperlink ref="B13" r:id="rId9" display="CARAMUNICH® TYPE 2 (Карамелен мюнхенски тип 2) Вайерман"/>
    <hyperlink ref="B20" r:id="rId10" display="Жатец - 5м (ароматен;  за аромат;  3,4%)"/>
    <hyperlink ref="B12" r:id="rId11" display="Раух малц Вайерман"/>
    <hyperlink ref="B15" r:id="rId12"/>
    <hyperlink ref="B23" r:id="rId13" display="Нотингам "/>
    <hyperlink ref="B37" r:id="rId14" display="Размесване на  38°С - Протеаза на 55°С"/>
  </hyperlinks>
  <printOptions horizontalCentered="1"/>
  <pageMargins left="0.23622047244094491" right="0.23622047244094491" top="0.23622047244094491" bottom="0.11811023622047245" header="0.31496062992125984" footer="0.31496062992125984"/>
  <pageSetup paperSize="9" orientation="portrait" r:id="rId15"/>
</worksheet>
</file>

<file path=xl/worksheets/sheet13.xml><?xml version="1.0" encoding="utf-8"?>
<worksheet xmlns="http://schemas.openxmlformats.org/spreadsheetml/2006/main" xmlns:r="http://schemas.openxmlformats.org/officeDocument/2006/relationships">
  <dimension ref="A1:M189"/>
  <sheetViews>
    <sheetView topLeftCell="A7" workbookViewId="0">
      <selection activeCell="A18" sqref="A18:XFD18"/>
    </sheetView>
  </sheetViews>
  <sheetFormatPr defaultRowHeight="27" customHeight="1"/>
  <cols>
    <col min="1" max="1" width="3.7109375" style="243" customWidth="1"/>
    <col min="2" max="2" width="55.7109375" style="261" customWidth="1"/>
    <col min="3" max="4" width="12.7109375" style="261" customWidth="1"/>
    <col min="5" max="5" width="12.7109375" style="305" customWidth="1"/>
    <col min="6" max="6" width="12.7109375" style="261" customWidth="1"/>
    <col min="7" max="7" width="11.7109375" style="261" customWidth="1"/>
    <col min="8" max="8" width="11.7109375" style="270" customWidth="1"/>
    <col min="9" max="23" width="11.7109375" style="261" customWidth="1"/>
    <col min="24" max="16384" width="9.140625" style="261"/>
  </cols>
  <sheetData>
    <row r="1" spans="1:9" s="244" customFormat="1" ht="27" customHeight="1">
      <c r="A1" s="243"/>
      <c r="B1" s="430" t="s">
        <v>637</v>
      </c>
      <c r="C1" s="245" t="s">
        <v>221</v>
      </c>
      <c r="D1" s="245" t="s">
        <v>349</v>
      </c>
      <c r="E1" s="245" t="s">
        <v>144</v>
      </c>
      <c r="H1" s="246"/>
    </row>
    <row r="2" spans="1:9" s="244" customFormat="1" ht="27" customHeight="1">
      <c r="A2" s="243"/>
      <c r="B2" s="250" t="s">
        <v>634</v>
      </c>
      <c r="C2" s="245">
        <v>14</v>
      </c>
      <c r="D2" s="248">
        <v>1</v>
      </c>
      <c r="E2" s="249">
        <v>42680</v>
      </c>
    </row>
    <row r="3" spans="1:9" s="244" customFormat="1" ht="27" customHeight="1">
      <c r="A3" s="243"/>
      <c r="B3" s="250" t="s">
        <v>342</v>
      </c>
      <c r="C3" s="251" t="s">
        <v>95</v>
      </c>
      <c r="D3" s="251" t="s">
        <v>385</v>
      </c>
      <c r="E3" s="251" t="s">
        <v>387</v>
      </c>
      <c r="F3" s="251" t="s">
        <v>528</v>
      </c>
      <c r="H3" s="711" t="s">
        <v>529</v>
      </c>
      <c r="I3" s="712"/>
    </row>
    <row r="4" spans="1:9" s="244" customFormat="1" ht="27" customHeight="1">
      <c r="A4" s="243"/>
      <c r="B4" s="250" t="s">
        <v>483</v>
      </c>
      <c r="C4" s="407">
        <v>5.5</v>
      </c>
      <c r="D4" s="407">
        <f>C4*7.3</f>
        <v>40.15</v>
      </c>
      <c r="E4" s="407">
        <f>C4*5</f>
        <v>27.5</v>
      </c>
      <c r="F4" s="451">
        <f>E4*0.93*2</f>
        <v>51.150000000000006</v>
      </c>
      <c r="H4" s="546" t="s">
        <v>530</v>
      </c>
      <c r="I4" s="243">
        <v>0</v>
      </c>
    </row>
    <row r="5" spans="1:9" s="244" customFormat="1" ht="27" customHeight="1">
      <c r="A5" s="243"/>
      <c r="B5" s="250" t="s">
        <v>662</v>
      </c>
      <c r="C5" s="255"/>
      <c r="D5" s="255"/>
      <c r="E5" s="290"/>
      <c r="F5" s="255"/>
      <c r="H5" s="546" t="s">
        <v>531</v>
      </c>
      <c r="I5" s="243">
        <v>45</v>
      </c>
    </row>
    <row r="6" spans="1:9" s="244" customFormat="1" ht="27" customHeight="1">
      <c r="A6" s="243"/>
      <c r="B6" s="250" t="s">
        <v>663</v>
      </c>
      <c r="C6" s="251" t="s">
        <v>386</v>
      </c>
      <c r="D6" s="251" t="s">
        <v>661</v>
      </c>
      <c r="E6" s="249"/>
      <c r="F6" s="251" t="s">
        <v>541</v>
      </c>
      <c r="H6" s="244" t="s">
        <v>649</v>
      </c>
      <c r="I6" s="243">
        <v>35</v>
      </c>
    </row>
    <row r="7" spans="1:9" s="244" customFormat="1" ht="27" customHeight="1">
      <c r="A7" s="243"/>
      <c r="B7" s="250" t="s">
        <v>664</v>
      </c>
      <c r="C7" s="256">
        <f>SUM(F10:F28)</f>
        <v>31.434154999999997</v>
      </c>
      <c r="D7" s="257">
        <f>IF(F7=0," ",C7/F7)</f>
        <v>0.6045029807692307</v>
      </c>
      <c r="E7" s="249"/>
      <c r="F7" s="467">
        <v>52</v>
      </c>
      <c r="H7" s="546" t="s">
        <v>532</v>
      </c>
      <c r="I7" s="243">
        <v>18</v>
      </c>
    </row>
    <row r="8" spans="1:9" s="244" customFormat="1" ht="27" customHeight="1">
      <c r="A8" s="243"/>
      <c r="B8" s="250" t="s">
        <v>665</v>
      </c>
      <c r="C8" s="245"/>
      <c r="D8" s="248"/>
      <c r="E8" s="249"/>
    </row>
    <row r="9" spans="1:9" s="244" customFormat="1" ht="27" customHeight="1">
      <c r="A9" s="243"/>
      <c r="B9" s="258"/>
      <c r="C9" s="245"/>
      <c r="D9" s="248"/>
      <c r="E9" s="249"/>
    </row>
    <row r="10" spans="1:9" s="244" customFormat="1" ht="27" customHeight="1">
      <c r="A10" s="243"/>
      <c r="B10" s="259" t="s">
        <v>95</v>
      </c>
      <c r="C10" s="260" t="s">
        <v>42</v>
      </c>
      <c r="D10" s="260" t="s">
        <v>354</v>
      </c>
      <c r="E10" s="260" t="s">
        <v>41</v>
      </c>
      <c r="F10" s="245" t="s">
        <v>41</v>
      </c>
      <c r="G10" s="299" t="s">
        <v>653</v>
      </c>
      <c r="H10" s="247"/>
      <c r="I10" s="264"/>
    </row>
    <row r="11" spans="1:9" ht="27" customHeight="1">
      <c r="A11" s="243">
        <v>1</v>
      </c>
      <c r="B11" s="265" t="s">
        <v>636</v>
      </c>
      <c r="C11" s="402">
        <f>C4*D11</f>
        <v>2.75</v>
      </c>
      <c r="D11" s="411">
        <v>0.5</v>
      </c>
      <c r="E11" s="501">
        <v>2.0499999999999998</v>
      </c>
      <c r="F11" s="269">
        <f>C11*E11</f>
        <v>5.6374999999999993</v>
      </c>
      <c r="G11" s="305">
        <v>2.6</v>
      </c>
      <c r="H11" s="264"/>
      <c r="I11" s="270"/>
    </row>
    <row r="12" spans="1:9" ht="27" customHeight="1">
      <c r="A12" s="243">
        <v>2</v>
      </c>
      <c r="B12" s="265" t="s">
        <v>666</v>
      </c>
      <c r="C12" s="403">
        <f>C4*D12</f>
        <v>1.65</v>
      </c>
      <c r="D12" s="412">
        <v>0.3</v>
      </c>
      <c r="E12" s="501">
        <v>2.5499999999999998</v>
      </c>
      <c r="F12" s="284">
        <f>C12*E12</f>
        <v>4.2074999999999996</v>
      </c>
      <c r="G12" s="305">
        <v>1.7</v>
      </c>
      <c r="H12" s="264"/>
      <c r="I12" s="270"/>
    </row>
    <row r="13" spans="1:9" ht="27" customHeight="1">
      <c r="A13" s="243">
        <v>3</v>
      </c>
      <c r="B13" s="265" t="s">
        <v>635</v>
      </c>
      <c r="C13" s="403">
        <f>C4*D13</f>
        <v>0.93500000000000005</v>
      </c>
      <c r="D13" s="412">
        <v>0.17</v>
      </c>
      <c r="E13" s="501">
        <v>2.15</v>
      </c>
      <c r="F13" s="284">
        <f t="shared" ref="F13:F14" si="0">C13*E13</f>
        <v>2.0102500000000001</v>
      </c>
      <c r="G13" s="305">
        <v>1</v>
      </c>
      <c r="H13" s="264"/>
      <c r="I13" s="270"/>
    </row>
    <row r="14" spans="1:9" ht="27" customHeight="1">
      <c r="A14" s="243">
        <v>4</v>
      </c>
      <c r="B14" s="265" t="s">
        <v>667</v>
      </c>
      <c r="C14" s="404">
        <f>C4*D14</f>
        <v>0.16499999999999998</v>
      </c>
      <c r="D14" s="413">
        <v>0.03</v>
      </c>
      <c r="E14" s="501">
        <v>3.05</v>
      </c>
      <c r="F14" s="274">
        <f t="shared" si="0"/>
        <v>0.50324999999999986</v>
      </c>
      <c r="G14" s="305">
        <v>0.2</v>
      </c>
      <c r="H14" s="264"/>
      <c r="I14" s="270"/>
    </row>
    <row r="15" spans="1:9" ht="27" customHeight="1">
      <c r="C15" s="276"/>
      <c r="D15" s="277"/>
      <c r="E15" s="501"/>
      <c r="F15" s="279"/>
      <c r="G15" s="305">
        <f>SUM(G11:G14)</f>
        <v>5.5</v>
      </c>
      <c r="H15" s="264"/>
      <c r="I15" s="270"/>
    </row>
    <row r="16" spans="1:9" s="255" customFormat="1" ht="27" customHeight="1">
      <c r="A16" s="275"/>
      <c r="B16"/>
      <c r="C16" s="276"/>
      <c r="D16" s="277"/>
      <c r="E16" s="278"/>
      <c r="F16" s="279"/>
      <c r="I16" s="264"/>
    </row>
    <row r="17" spans="1:13" s="255" customFormat="1" ht="27" customHeight="1">
      <c r="A17" s="275"/>
      <c r="B17" s="259" t="s">
        <v>337</v>
      </c>
      <c r="C17" s="532" t="s">
        <v>216</v>
      </c>
      <c r="D17" s="280" t="s">
        <v>335</v>
      </c>
      <c r="E17" s="281" t="s">
        <v>336</v>
      </c>
      <c r="F17" s="279"/>
      <c r="I17" s="264"/>
    </row>
    <row r="18" spans="1:13" ht="27" customHeight="1">
      <c r="A18" s="243">
        <v>5</v>
      </c>
      <c r="B18" s="265" t="s">
        <v>482</v>
      </c>
      <c r="C18" s="405">
        <f>D18*D4</f>
        <v>24.09</v>
      </c>
      <c r="D18" s="548">
        <v>0.6</v>
      </c>
      <c r="E18" s="504">
        <v>49.5</v>
      </c>
      <c r="F18" s="401">
        <f>(C18/1000)*E18</f>
        <v>1.192455</v>
      </c>
      <c r="H18" s="272"/>
      <c r="I18" s="264"/>
    </row>
    <row r="19" spans="1:13" s="255" customFormat="1" ht="27" customHeight="1">
      <c r="A19" s="275"/>
      <c r="B19" s="261"/>
      <c r="C19" s="545"/>
      <c r="D19" s="276"/>
      <c r="E19" s="278"/>
      <c r="F19" s="279"/>
      <c r="I19" s="264"/>
    </row>
    <row r="20" spans="1:13" s="255" customFormat="1" ht="27" customHeight="1">
      <c r="A20" s="275"/>
      <c r="B20" s="259" t="s">
        <v>355</v>
      </c>
      <c r="C20" s="280"/>
      <c r="D20" s="532"/>
      <c r="E20" s="281" t="s">
        <v>448</v>
      </c>
      <c r="F20" s="279"/>
      <c r="I20" s="264"/>
    </row>
    <row r="21" spans="1:13" ht="27" customHeight="1">
      <c r="A21" s="243">
        <v>7</v>
      </c>
      <c r="B21" s="265" t="s">
        <v>646</v>
      </c>
      <c r="C21" s="287"/>
      <c r="D21" s="431">
        <v>1</v>
      </c>
      <c r="E21" s="363">
        <v>4.0999999999999996</v>
      </c>
      <c r="F21" s="269">
        <f>D21*E21</f>
        <v>4.0999999999999996</v>
      </c>
      <c r="H21" s="290"/>
      <c r="I21" s="290"/>
    </row>
    <row r="22" spans="1:13" ht="27" customHeight="1">
      <c r="A22" s="243">
        <v>8</v>
      </c>
      <c r="B22" s="265" t="s">
        <v>25</v>
      </c>
      <c r="C22" s="267"/>
      <c r="D22" s="466">
        <f>F4+2</f>
        <v>53.150000000000006</v>
      </c>
      <c r="E22" s="363">
        <v>2.8000000000000001E-2</v>
      </c>
      <c r="F22" s="284">
        <f>D22*E22</f>
        <v>1.4882000000000002</v>
      </c>
      <c r="H22" s="264"/>
      <c r="I22" s="270"/>
    </row>
    <row r="23" spans="1:13" ht="27" customHeight="1">
      <c r="A23" s="243">
        <v>9</v>
      </c>
      <c r="B23" s="265" t="s">
        <v>356</v>
      </c>
      <c r="D23" s="433">
        <f>C4</f>
        <v>5.5</v>
      </c>
      <c r="E23" s="363">
        <v>0.25</v>
      </c>
      <c r="F23" s="284">
        <f>D23*E23</f>
        <v>1.375</v>
      </c>
      <c r="H23" s="261"/>
    </row>
    <row r="24" spans="1:13" ht="27" customHeight="1">
      <c r="A24" s="243">
        <v>10</v>
      </c>
      <c r="B24" s="265" t="s">
        <v>401</v>
      </c>
      <c r="D24" s="466">
        <v>1</v>
      </c>
      <c r="E24" s="363">
        <v>2</v>
      </c>
      <c r="F24" s="284">
        <f>D24*E24</f>
        <v>2</v>
      </c>
      <c r="H24" s="261"/>
      <c r="M24" s="292"/>
    </row>
    <row r="25" spans="1:13" ht="27" customHeight="1">
      <c r="A25" s="243">
        <v>11</v>
      </c>
      <c r="B25" s="541" t="s">
        <v>403</v>
      </c>
      <c r="D25" s="533">
        <v>1</v>
      </c>
      <c r="E25" s="363">
        <v>1.3</v>
      </c>
      <c r="F25" s="274">
        <f>D25*E25</f>
        <v>1.3</v>
      </c>
      <c r="H25" s="261"/>
    </row>
    <row r="26" spans="1:13" ht="27" customHeight="1">
      <c r="E26" s="268"/>
      <c r="H26" s="261"/>
    </row>
    <row r="27" spans="1:13" ht="27" customHeight="1">
      <c r="A27" s="243">
        <v>12</v>
      </c>
      <c r="B27" s="541" t="s">
        <v>43</v>
      </c>
      <c r="E27" s="268"/>
      <c r="F27" s="294">
        <v>5.62</v>
      </c>
      <c r="H27" s="261"/>
    </row>
    <row r="28" spans="1:13" ht="27" customHeight="1">
      <c r="A28" s="243">
        <v>13</v>
      </c>
      <c r="B28" s="490" t="s">
        <v>565</v>
      </c>
      <c r="C28" s="490"/>
      <c r="D28" s="490"/>
      <c r="E28" s="491"/>
      <c r="F28" s="296">
        <v>2</v>
      </c>
      <c r="H28" s="261"/>
    </row>
    <row r="29" spans="1:13" ht="27" customHeight="1">
      <c r="D29" s="297"/>
      <c r="F29" s="297"/>
      <c r="H29" s="261"/>
    </row>
    <row r="30" spans="1:13" ht="27" customHeight="1">
      <c r="B30" s="299"/>
      <c r="C30" s="373"/>
      <c r="D30" s="297"/>
      <c r="H30" s="261"/>
    </row>
    <row r="31" spans="1:13" ht="27" customHeight="1">
      <c r="A31" s="261"/>
      <c r="B31" s="563" t="str">
        <f>("ГРАФИК"&amp;" "&amp;B1)</f>
        <v>ГРАФИК DUNKELWEIZEN</v>
      </c>
      <c r="C31" s="538" t="s">
        <v>441</v>
      </c>
      <c r="D31" s="448">
        <v>42680</v>
      </c>
      <c r="E31" s="449">
        <v>0.4861111111111111</v>
      </c>
      <c r="H31" s="261"/>
    </row>
    <row r="32" spans="1:13" ht="27" customHeight="1">
      <c r="A32" s="261"/>
      <c r="B32" s="261" t="s">
        <v>527</v>
      </c>
      <c r="C32" s="409" t="s">
        <v>99</v>
      </c>
      <c r="D32" s="409" t="s">
        <v>100</v>
      </c>
      <c r="E32" s="409" t="s">
        <v>101</v>
      </c>
      <c r="H32" s="261"/>
    </row>
    <row r="33" spans="1:8" ht="27" customHeight="1">
      <c r="A33" s="434">
        <v>1</v>
      </c>
      <c r="B33" s="325" t="s">
        <v>543</v>
      </c>
      <c r="C33" s="407">
        <f>C4*3</f>
        <v>16.5</v>
      </c>
      <c r="D33" s="407">
        <f>C4*5.5</f>
        <v>30.25</v>
      </c>
      <c r="E33" s="253">
        <f>SUM(C33:D33)</f>
        <v>46.75</v>
      </c>
      <c r="F33" s="270"/>
      <c r="H33" s="261"/>
    </row>
    <row r="34" spans="1:8" ht="27" customHeight="1">
      <c r="A34" s="434">
        <v>2</v>
      </c>
      <c r="B34" s="265" t="s">
        <v>650</v>
      </c>
      <c r="C34" s="419">
        <v>1.0416666666666666E-2</v>
      </c>
      <c r="D34" s="420">
        <v>0.50694444444444442</v>
      </c>
      <c r="E34" s="421">
        <f>IF(D34=0," ",D34+C34)</f>
        <v>0.51736111111111105</v>
      </c>
    </row>
    <row r="35" spans="1:8" ht="27" customHeight="1">
      <c r="A35" s="434">
        <v>3</v>
      </c>
      <c r="B35" s="261" t="s">
        <v>607</v>
      </c>
      <c r="C35" s="419">
        <v>2.7777777777777776E-2</v>
      </c>
      <c r="D35" s="420">
        <v>0.52083333333333337</v>
      </c>
      <c r="E35" s="421">
        <f>IF(D35=0," ",D35+C35)</f>
        <v>0.54861111111111116</v>
      </c>
    </row>
    <row r="36" spans="1:8" ht="27" customHeight="1">
      <c r="A36" s="434">
        <v>4</v>
      </c>
      <c r="B36" s="261" t="s">
        <v>674</v>
      </c>
      <c r="C36" s="419">
        <v>1.0416666666666666E-2</v>
      </c>
      <c r="D36" s="420">
        <v>0.52777777777777779</v>
      </c>
      <c r="E36" s="421">
        <f>IF(D36=0," ",D36+C36)</f>
        <v>0.53819444444444442</v>
      </c>
    </row>
    <row r="37" spans="1:8" ht="27" customHeight="1">
      <c r="A37" s="434">
        <v>5</v>
      </c>
      <c r="B37" s="261" t="s">
        <v>536</v>
      </c>
    </row>
    <row r="38" spans="1:8" ht="27" customHeight="1">
      <c r="A38" s="434">
        <v>6</v>
      </c>
      <c r="B38" s="261" t="s">
        <v>578</v>
      </c>
      <c r="E38" s="261"/>
    </row>
    <row r="39" spans="1:8" ht="15" customHeight="1">
      <c r="A39" s="434"/>
      <c r="D39" s="408" t="s">
        <v>584</v>
      </c>
      <c r="E39" s="409" t="s">
        <v>585</v>
      </c>
    </row>
    <row r="40" spans="1:8" ht="27" customHeight="1">
      <c r="A40" s="434">
        <v>7</v>
      </c>
      <c r="B40" s="301" t="s">
        <v>625</v>
      </c>
      <c r="D40" s="420">
        <v>0.57152777777777775</v>
      </c>
      <c r="E40" s="420">
        <v>0.60416666666666663</v>
      </c>
    </row>
    <row r="41" spans="1:8" ht="27" customHeight="1">
      <c r="A41" s="434">
        <v>8</v>
      </c>
      <c r="B41" s="244" t="s">
        <v>620</v>
      </c>
      <c r="C41" s="536">
        <v>18.5</v>
      </c>
      <c r="D41" s="417">
        <v>1.5</v>
      </c>
      <c r="E41" s="417">
        <v>10</v>
      </c>
    </row>
    <row r="42" spans="1:8" ht="27" customHeight="1">
      <c r="A42" s="434">
        <v>9</v>
      </c>
      <c r="B42" s="244" t="s">
        <v>605</v>
      </c>
      <c r="C42" s="537" t="s">
        <v>606</v>
      </c>
      <c r="D42" s="416" t="s">
        <v>648</v>
      </c>
      <c r="E42" s="417" t="s">
        <v>648</v>
      </c>
      <c r="H42" s="261"/>
    </row>
    <row r="43" spans="1:8" ht="27" customHeight="1">
      <c r="A43" s="434">
        <v>10</v>
      </c>
      <c r="B43" s="542" t="s">
        <v>642</v>
      </c>
      <c r="C43" s="516"/>
      <c r="D43" s="519" t="s">
        <v>581</v>
      </c>
      <c r="E43" s="460">
        <v>40</v>
      </c>
    </row>
    <row r="44" spans="1:8" ht="15" customHeight="1">
      <c r="A44" s="434"/>
      <c r="C44" s="408"/>
      <c r="D44" s="409"/>
    </row>
    <row r="45" spans="1:8" ht="27" customHeight="1">
      <c r="A45" s="434">
        <v>12</v>
      </c>
      <c r="B45" s="301" t="s">
        <v>380</v>
      </c>
      <c r="C45" s="538" t="s">
        <v>577</v>
      </c>
      <c r="D45" s="510">
        <v>4.8611111111111112E-2</v>
      </c>
      <c r="E45" s="509">
        <v>0.60416666666666663</v>
      </c>
      <c r="F45" s="261" t="s">
        <v>587</v>
      </c>
    </row>
    <row r="46" spans="1:8" ht="27" customHeight="1">
      <c r="A46" s="434">
        <v>14</v>
      </c>
      <c r="B46" s="522" t="str">
        <f>B18</f>
        <v>MAGNUM   (горчив:  12,7%)</v>
      </c>
      <c r="C46" s="396">
        <f>F46*D4</f>
        <v>12.045</v>
      </c>
      <c r="D46" s="511">
        <v>4.1666666666666664E-2</v>
      </c>
      <c r="E46" s="508">
        <f>IF(E45=0," ",E47-D46)</f>
        <v>0.60416666666666674</v>
      </c>
      <c r="F46" s="503">
        <v>0.3</v>
      </c>
    </row>
    <row r="47" spans="1:8" ht="27" customHeight="1">
      <c r="A47" s="434">
        <v>15</v>
      </c>
      <c r="B47" s="522" t="str">
        <f>B18</f>
        <v>MAGNUM   (горчив:  12,7%)</v>
      </c>
      <c r="C47" s="398">
        <f>F47*D4</f>
        <v>4.0149999999999997</v>
      </c>
      <c r="D47" s="513">
        <v>6.9444444444444441E-3</v>
      </c>
      <c r="E47" s="440">
        <f>IF(E45=0," ",E48-D47)</f>
        <v>0.64583333333333337</v>
      </c>
      <c r="F47" s="502">
        <v>0.1</v>
      </c>
    </row>
    <row r="48" spans="1:8" ht="27" customHeight="1">
      <c r="A48" s="434">
        <v>16</v>
      </c>
      <c r="B48" s="319" t="s">
        <v>340</v>
      </c>
      <c r="D48" s="538" t="s">
        <v>497</v>
      </c>
      <c r="E48" s="419">
        <f>IF(E45=0," ",E45+D45)</f>
        <v>0.65277777777777779</v>
      </c>
      <c r="F48" s="322"/>
      <c r="H48" s="261"/>
    </row>
    <row r="49" spans="1:8" ht="15" customHeight="1">
      <c r="A49" s="434"/>
      <c r="C49" s="408"/>
      <c r="D49" s="409"/>
    </row>
    <row r="50" spans="1:8" ht="27" customHeight="1">
      <c r="A50" s="434">
        <v>17</v>
      </c>
      <c r="B50" s="441" t="s">
        <v>622</v>
      </c>
      <c r="C50" s="424"/>
      <c r="D50" s="424"/>
      <c r="E50" s="478" t="str">
        <f>IF(C50=0," ",(D50-C50))</f>
        <v/>
      </c>
      <c r="F50" s="305"/>
      <c r="H50" s="261"/>
    </row>
    <row r="51" spans="1:8" ht="27" customHeight="1">
      <c r="A51" s="434">
        <v>18</v>
      </c>
      <c r="B51" s="549" t="s">
        <v>651</v>
      </c>
      <c r="C51" s="314"/>
      <c r="D51" s="314"/>
      <c r="E51" s="457">
        <v>27.5</v>
      </c>
      <c r="H51" s="261"/>
    </row>
    <row r="52" spans="1:8" ht="27" customHeight="1">
      <c r="A52" s="434">
        <v>19</v>
      </c>
      <c r="B52" s="541" t="s">
        <v>624</v>
      </c>
      <c r="C52" s="542"/>
      <c r="D52" s="542"/>
      <c r="E52" s="417">
        <v>11</v>
      </c>
      <c r="F52" s="305"/>
      <c r="H52" s="261"/>
    </row>
    <row r="53" spans="1:8" ht="27" customHeight="1">
      <c r="A53" s="434">
        <v>20</v>
      </c>
      <c r="B53" s="261" t="s">
        <v>324</v>
      </c>
      <c r="E53" s="261"/>
      <c r="H53" s="261"/>
    </row>
    <row r="54" spans="1:8" ht="27" customHeight="1">
      <c r="A54" s="434">
        <v>21</v>
      </c>
      <c r="B54" s="261" t="s">
        <v>23</v>
      </c>
      <c r="D54" s="538" t="s">
        <v>623</v>
      </c>
      <c r="E54" s="449">
        <v>0.79166666666666663</v>
      </c>
      <c r="H54" s="261"/>
    </row>
    <row r="55" spans="1:8" ht="15" customHeight="1">
      <c r="A55" s="434"/>
      <c r="B55" s="336"/>
      <c r="D55" s="538"/>
      <c r="E55" s="539"/>
      <c r="H55" s="261"/>
    </row>
    <row r="56" spans="1:8" s="317" customFormat="1" ht="27" customHeight="1">
      <c r="A56" s="434">
        <v>23</v>
      </c>
      <c r="B56" s="709" t="s">
        <v>597</v>
      </c>
      <c r="C56" s="709"/>
      <c r="D56" s="710"/>
      <c r="E56" s="417">
        <v>1.3</v>
      </c>
      <c r="F56" s="324"/>
      <c r="G56" s="555">
        <f>E56/E52</f>
        <v>0.11818181818181818</v>
      </c>
    </row>
    <row r="57" spans="1:8" s="317" customFormat="1" ht="27" customHeight="1">
      <c r="A57" s="434">
        <v>24</v>
      </c>
      <c r="B57" s="541" t="s">
        <v>598</v>
      </c>
      <c r="D57" s="538" t="s">
        <v>515</v>
      </c>
      <c r="E57" s="448">
        <v>42688</v>
      </c>
      <c r="F57" s="324"/>
    </row>
    <row r="58" spans="1:8" ht="27" customHeight="1">
      <c r="A58" s="243">
        <v>25</v>
      </c>
      <c r="B58" s="265" t="s">
        <v>652</v>
      </c>
    </row>
    <row r="59" spans="1:8" ht="15" customHeight="1"/>
    <row r="60" spans="1:8" ht="27" customHeight="1">
      <c r="A60" s="261">
        <v>26</v>
      </c>
      <c r="B60" s="261" t="s">
        <v>527</v>
      </c>
      <c r="C60" s="409"/>
      <c r="D60" s="558"/>
      <c r="E60" s="261"/>
      <c r="H60" s="261"/>
    </row>
    <row r="61" spans="1:8" ht="27" customHeight="1">
      <c r="A61" s="434">
        <v>27</v>
      </c>
      <c r="B61" s="556" t="s">
        <v>642</v>
      </c>
      <c r="C61" s="516"/>
      <c r="D61" s="557" t="s">
        <v>581</v>
      </c>
      <c r="E61" s="460" t="s">
        <v>648</v>
      </c>
    </row>
    <row r="62" spans="1:8" ht="27" customHeight="1">
      <c r="A62" s="261">
        <v>28</v>
      </c>
      <c r="B62" s="261" t="s">
        <v>668</v>
      </c>
      <c r="D62" s="538" t="s">
        <v>669</v>
      </c>
      <c r="E62" s="420" t="s">
        <v>648</v>
      </c>
    </row>
    <row r="63" spans="1:8" ht="27" customHeight="1">
      <c r="A63" s="434">
        <v>29</v>
      </c>
      <c r="B63" s="441" t="s">
        <v>622</v>
      </c>
      <c r="C63" s="449"/>
      <c r="D63" s="449"/>
      <c r="E63" s="421" t="str">
        <f>IF(D63=0," ",D63+C63)</f>
        <v/>
      </c>
      <c r="F63" s="305"/>
      <c r="H63" s="261"/>
    </row>
    <row r="64" spans="1:8" ht="27" customHeight="1">
      <c r="A64" s="261">
        <v>30</v>
      </c>
      <c r="B64" s="556" t="s">
        <v>670</v>
      </c>
      <c r="C64" s="314"/>
      <c r="D64" s="538" t="s">
        <v>671</v>
      </c>
      <c r="E64" s="416" t="s">
        <v>648</v>
      </c>
      <c r="H64" s="261"/>
    </row>
    <row r="67" spans="1:8" s="325" customFormat="1" ht="27" customHeight="1">
      <c r="B67" s="334"/>
      <c r="D67" s="335"/>
      <c r="E67" s="461"/>
    </row>
    <row r="68" spans="1:8" ht="27" customHeight="1">
      <c r="B68" s="336" t="s">
        <v>548</v>
      </c>
      <c r="C68" s="305"/>
      <c r="D68" s="305"/>
      <c r="H68" s="261"/>
    </row>
    <row r="69" spans="1:8" s="298" customFormat="1" ht="27" customHeight="1">
      <c r="A69" s="337"/>
      <c r="B69" s="338" t="s">
        <v>413</v>
      </c>
      <c r="C69" s="339"/>
      <c r="D69" s="339"/>
      <c r="E69" s="458">
        <f>IF(E52=0," ",((E52-E56)*0.52))</f>
        <v>5.0439999999999996</v>
      </c>
      <c r="H69" s="297"/>
    </row>
    <row r="70" spans="1:8" s="298" customFormat="1" ht="27" customHeight="1">
      <c r="A70" s="337"/>
      <c r="B70" s="342" t="s">
        <v>223</v>
      </c>
      <c r="C70" s="339"/>
      <c r="D70" s="339"/>
      <c r="E70" s="459">
        <f>IF(E52=0," ",E52)</f>
        <v>11</v>
      </c>
      <c r="H70" s="297"/>
    </row>
    <row r="71" spans="1:8" s="298" customFormat="1" ht="27" customHeight="1">
      <c r="A71" s="337"/>
      <c r="B71" s="344" t="s">
        <v>219</v>
      </c>
      <c r="C71" s="543"/>
      <c r="D71" s="543"/>
      <c r="E71" s="392">
        <v>20</v>
      </c>
    </row>
    <row r="72" spans="1:8" s="298" customFormat="1" ht="27" customHeight="1">
      <c r="A72" s="337"/>
      <c r="B72" s="344" t="s">
        <v>218</v>
      </c>
      <c r="C72" s="347"/>
      <c r="E72" s="453">
        <v>22.52</v>
      </c>
    </row>
    <row r="73" spans="1:8" s="298" customFormat="1" ht="27" customHeight="1">
      <c r="A73" s="337"/>
      <c r="B73" s="349" t="s">
        <v>224</v>
      </c>
      <c r="C73" s="543"/>
      <c r="D73" s="543"/>
      <c r="E73" s="454">
        <f>IF(E52=0," ",(E52/(258.6-((E52/258.2)*227.1)))+1)</f>
        <v>1.0441900273865525</v>
      </c>
    </row>
    <row r="74" spans="1:8" s="298" customFormat="1" ht="27" customHeight="1">
      <c r="A74" s="337"/>
      <c r="B74" s="351" t="s">
        <v>225</v>
      </c>
      <c r="C74" s="543"/>
      <c r="D74" s="543"/>
      <c r="E74" s="455">
        <f>IF(E56=0," ",((E56/(258.6-((E56/258.2)*227.1))) + 1))</f>
        <v>1.0050493950458885</v>
      </c>
    </row>
    <row r="75" spans="1:8" ht="27" customHeight="1">
      <c r="B75" s="317"/>
      <c r="F75"/>
    </row>
    <row r="76" spans="1:8" s="298" customFormat="1" ht="27" customHeight="1">
      <c r="A76" s="337"/>
      <c r="B76" s="374" t="s">
        <v>154</v>
      </c>
      <c r="E76" s="353">
        <f>((E77*E78)/E79)/100</f>
        <v>0.55000000000000004</v>
      </c>
      <c r="H76" s="297"/>
    </row>
    <row r="77" spans="1:8" s="298" customFormat="1" ht="27" customHeight="1">
      <c r="A77" s="337"/>
      <c r="B77" s="354" t="s">
        <v>510</v>
      </c>
      <c r="E77" s="355">
        <f>E51</f>
        <v>27.5</v>
      </c>
      <c r="H77" s="297"/>
    </row>
    <row r="78" spans="1:8" s="298" customFormat="1" ht="27" customHeight="1">
      <c r="A78" s="337"/>
      <c r="B78" s="354" t="s">
        <v>361</v>
      </c>
      <c r="E78" s="356">
        <f>E52</f>
        <v>11</v>
      </c>
      <c r="H78" s="297"/>
    </row>
    <row r="79" spans="1:8" s="298" customFormat="1" ht="27" customHeight="1">
      <c r="A79" s="337"/>
      <c r="B79" s="357" t="s">
        <v>153</v>
      </c>
      <c r="E79" s="415">
        <f>C4</f>
        <v>5.5</v>
      </c>
      <c r="H79" s="297"/>
    </row>
    <row r="80" spans="1:8" s="298" customFormat="1" ht="27" customHeight="1">
      <c r="A80" s="337"/>
      <c r="E80" s="507"/>
    </row>
    <row r="81" spans="1:8" s="298" customFormat="1" ht="27" customHeight="1">
      <c r="A81" s="337"/>
      <c r="B81" s="480" t="s">
        <v>555</v>
      </c>
      <c r="D81" s="488"/>
      <c r="E81" s="481">
        <f>IF(E31=0," ",E54-E31)</f>
        <v>0.30555555555555552</v>
      </c>
    </row>
    <row r="82" spans="1:8" s="298" customFormat="1" ht="27" customHeight="1">
      <c r="A82" s="337"/>
      <c r="B82" s="354" t="s">
        <v>562</v>
      </c>
      <c r="D82" s="488"/>
      <c r="E82" s="489"/>
    </row>
    <row r="83" spans="1:8" s="298" customFormat="1" ht="27" customHeight="1">
      <c r="A83" s="337"/>
      <c r="B83" s="354" t="s">
        <v>556</v>
      </c>
      <c r="E83" s="482">
        <f>E70</f>
        <v>11</v>
      </c>
    </row>
    <row r="84" spans="1:8" s="298" customFormat="1" ht="27" customHeight="1">
      <c r="A84" s="337"/>
      <c r="B84" s="357" t="s">
        <v>557</v>
      </c>
      <c r="E84" s="506"/>
    </row>
    <row r="85" spans="1:8" s="325" customFormat="1" ht="27" customHeight="1">
      <c r="B85" s="334"/>
      <c r="D85" s="335"/>
      <c r="E85" s="461"/>
    </row>
    <row r="86" spans="1:8" s="325" customFormat="1" ht="27" customHeight="1">
      <c r="B86" s="334"/>
      <c r="D86" s="335"/>
      <c r="E86" s="461"/>
    </row>
    <row r="87" spans="1:8" s="325" customFormat="1" ht="27" customHeight="1">
      <c r="B87" s="326" t="s">
        <v>71</v>
      </c>
      <c r="E87" s="461"/>
    </row>
    <row r="88" spans="1:8" s="325" customFormat="1" ht="27" customHeight="1">
      <c r="B88" s="327" t="s">
        <v>416</v>
      </c>
      <c r="E88" s="456"/>
    </row>
    <row r="89" spans="1:8" s="325" customFormat="1" ht="27" customHeight="1">
      <c r="B89" s="328" t="s">
        <v>366</v>
      </c>
      <c r="E89" s="457"/>
    </row>
    <row r="90" spans="1:8" s="325" customFormat="1" ht="27" customHeight="1">
      <c r="B90" s="328" t="s">
        <v>75</v>
      </c>
      <c r="E90" s="331">
        <v>6</v>
      </c>
      <c r="F90" s="474" t="s">
        <v>566</v>
      </c>
    </row>
    <row r="91" spans="1:8" s="325" customFormat="1" ht="27" customHeight="1">
      <c r="B91" s="328" t="s">
        <v>414</v>
      </c>
      <c r="E91" s="331" t="str">
        <f>IF(E88=0," ",(1*E88*10*80%))</f>
        <v/>
      </c>
      <c r="F91" s="325" t="s">
        <v>567</v>
      </c>
    </row>
    <row r="92" spans="1:8" s="325" customFormat="1" ht="27" customHeight="1">
      <c r="B92" s="332" t="s">
        <v>415</v>
      </c>
      <c r="E92" s="333" t="str">
        <f>IF(E89=0," ",E89*E90/E91)</f>
        <v/>
      </c>
      <c r="F92" s="325" t="s">
        <v>568</v>
      </c>
    </row>
    <row r="93" spans="1:8" s="298" customFormat="1" ht="27" customHeight="1">
      <c r="A93" s="337"/>
      <c r="E93" s="347"/>
    </row>
    <row r="94" spans="1:8" s="298" customFormat="1" ht="27" customHeight="1">
      <c r="A94" s="337"/>
      <c r="E94" s="347"/>
    </row>
    <row r="95" spans="1:8" s="298" customFormat="1" ht="27" customHeight="1">
      <c r="A95" s="337"/>
      <c r="B95" s="359"/>
      <c r="E95" s="347"/>
    </row>
    <row r="96" spans="1:8" s="298" customFormat="1" ht="27" customHeight="1">
      <c r="A96" s="337"/>
      <c r="E96" s="347"/>
      <c r="H96" s="297"/>
    </row>
    <row r="97" spans="1:8" s="298" customFormat="1" ht="27" customHeight="1">
      <c r="A97" s="337"/>
      <c r="B97" s="359" t="s">
        <v>220</v>
      </c>
      <c r="E97" s="347"/>
      <c r="H97" s="297"/>
    </row>
    <row r="98" spans="1:8" s="298" customFormat="1" ht="27" customHeight="1">
      <c r="A98" s="337"/>
      <c r="B98" s="298" t="s">
        <v>553</v>
      </c>
      <c r="E98" s="347"/>
      <c r="H98" s="297"/>
    </row>
    <row r="99" spans="1:8" s="298" customFormat="1" ht="27" customHeight="1">
      <c r="A99" s="337"/>
      <c r="B99" s="298" t="s">
        <v>544</v>
      </c>
      <c r="E99" s="347"/>
      <c r="H99" s="297"/>
    </row>
    <row r="100" spans="1:8" ht="27" customHeight="1">
      <c r="B100" s="317" t="s">
        <v>545</v>
      </c>
    </row>
    <row r="101" spans="1:8" ht="27" customHeight="1">
      <c r="B101" s="317" t="s">
        <v>546</v>
      </c>
      <c r="F101"/>
    </row>
    <row r="102" spans="1:8" ht="27" customHeight="1">
      <c r="B102" s="317" t="s">
        <v>550</v>
      </c>
      <c r="F102"/>
    </row>
    <row r="103" spans="1:8" ht="27" customHeight="1">
      <c r="B103" s="317" t="s">
        <v>549</v>
      </c>
      <c r="F103"/>
    </row>
    <row r="104" spans="1:8" ht="27" customHeight="1">
      <c r="B104" s="317" t="s">
        <v>551</v>
      </c>
      <c r="F104"/>
    </row>
    <row r="105" spans="1:8" ht="27" customHeight="1">
      <c r="B105" s="317" t="s">
        <v>552</v>
      </c>
      <c r="F105"/>
    </row>
    <row r="106" spans="1:8" ht="27" customHeight="1">
      <c r="B106" s="317"/>
      <c r="F106"/>
    </row>
    <row r="107" spans="1:8" ht="27" customHeight="1">
      <c r="F107" s="704" t="s">
        <v>339</v>
      </c>
      <c r="G107" s="705"/>
    </row>
    <row r="108" spans="1:8" ht="27" customHeight="1">
      <c r="F108" s="360" t="s">
        <v>238</v>
      </c>
      <c r="G108" s="360" t="s">
        <v>239</v>
      </c>
    </row>
    <row r="109" spans="1:8" ht="27" customHeight="1">
      <c r="B109" s="255"/>
      <c r="C109" s="498"/>
      <c r="F109" s="361">
        <v>0.5</v>
      </c>
      <c r="G109" s="450">
        <v>1.002</v>
      </c>
    </row>
    <row r="110" spans="1:8" ht="27" customHeight="1">
      <c r="B110" s="255"/>
      <c r="C110" s="499"/>
      <c r="F110" s="361">
        <v>1</v>
      </c>
      <c r="G110" s="450">
        <v>1.004</v>
      </c>
    </row>
    <row r="111" spans="1:8" ht="27" customHeight="1">
      <c r="B111" s="500"/>
      <c r="C111" s="499"/>
      <c r="F111" s="361">
        <v>1.5</v>
      </c>
      <c r="G111" s="450">
        <v>1.006</v>
      </c>
    </row>
    <row r="112" spans="1:8" ht="27" customHeight="1">
      <c r="C112" s="486"/>
      <c r="F112" s="361">
        <v>2</v>
      </c>
      <c r="G112" s="450">
        <v>1.008</v>
      </c>
    </row>
    <row r="113" spans="1:8" ht="27" customHeight="1">
      <c r="F113" s="361">
        <v>2.5</v>
      </c>
      <c r="G113" s="450">
        <v>1.01</v>
      </c>
    </row>
    <row r="114" spans="1:8" ht="27" customHeight="1">
      <c r="B114" s="261" t="s">
        <v>560</v>
      </c>
      <c r="C114" s="484">
        <v>60</v>
      </c>
      <c r="F114" s="361">
        <v>3</v>
      </c>
      <c r="G114" s="450">
        <v>1.012</v>
      </c>
    </row>
    <row r="115" spans="1:8" ht="27" customHeight="1">
      <c r="B115" s="261" t="s">
        <v>561</v>
      </c>
      <c r="C115" s="484">
        <v>20</v>
      </c>
      <c r="F115" s="361">
        <v>3.5</v>
      </c>
      <c r="G115" s="450">
        <v>1.014</v>
      </c>
    </row>
    <row r="116" spans="1:8" ht="27" customHeight="1">
      <c r="A116" s="261"/>
      <c r="B116" s="255"/>
      <c r="C116" s="498"/>
      <c r="F116" s="361">
        <v>4</v>
      </c>
      <c r="G116" s="450">
        <v>1.016</v>
      </c>
      <c r="H116" s="261"/>
    </row>
    <row r="117" spans="1:8" ht="27" customHeight="1">
      <c r="A117" s="261"/>
      <c r="B117" s="261" t="s">
        <v>558</v>
      </c>
      <c r="C117" s="484">
        <v>10</v>
      </c>
      <c r="F117" s="361">
        <v>4.5</v>
      </c>
      <c r="G117" s="450">
        <v>1.018</v>
      </c>
      <c r="H117" s="261"/>
    </row>
    <row r="118" spans="1:8" ht="27" customHeight="1">
      <c r="A118" s="261"/>
      <c r="C118" s="487">
        <f>SUM(C114:C117)</f>
        <v>90</v>
      </c>
      <c r="F118" s="361">
        <v>5</v>
      </c>
      <c r="G118" s="450">
        <v>1.02</v>
      </c>
      <c r="H118" s="261"/>
    </row>
    <row r="119" spans="1:8" ht="27" customHeight="1">
      <c r="A119" s="261"/>
      <c r="F119" s="361">
        <v>5.5</v>
      </c>
      <c r="G119" s="450">
        <v>1.022</v>
      </c>
      <c r="H119" s="261"/>
    </row>
    <row r="120" spans="1:8" ht="27" customHeight="1">
      <c r="A120" s="261"/>
      <c r="C120" s="485">
        <f>C118+C109</f>
        <v>90</v>
      </c>
      <c r="F120" s="361">
        <v>6</v>
      </c>
      <c r="G120" s="450">
        <v>1.024</v>
      </c>
      <c r="H120" s="261"/>
    </row>
    <row r="121" spans="1:8" ht="27" customHeight="1">
      <c r="A121" s="261"/>
      <c r="F121" s="361">
        <v>6.5</v>
      </c>
      <c r="G121" s="450">
        <v>1.026</v>
      </c>
      <c r="H121" s="261"/>
    </row>
    <row r="122" spans="1:8" ht="27" customHeight="1">
      <c r="A122" s="261"/>
      <c r="F122" s="361">
        <v>7</v>
      </c>
      <c r="G122" s="450">
        <v>1.028</v>
      </c>
      <c r="H122" s="261"/>
    </row>
    <row r="123" spans="1:8" ht="27" customHeight="1">
      <c r="A123" s="261"/>
      <c r="F123" s="361">
        <v>7.5</v>
      </c>
      <c r="G123" s="450">
        <v>1.03</v>
      </c>
      <c r="H123" s="261"/>
    </row>
    <row r="124" spans="1:8" ht="27" customHeight="1">
      <c r="A124" s="261"/>
      <c r="F124" s="361">
        <v>8</v>
      </c>
      <c r="G124" s="450">
        <v>1.032</v>
      </c>
      <c r="H124" s="261"/>
    </row>
    <row r="125" spans="1:8" ht="27" customHeight="1">
      <c r="A125" s="261"/>
      <c r="F125" s="361">
        <v>8.5</v>
      </c>
      <c r="G125" s="450">
        <v>1.034</v>
      </c>
      <c r="H125" s="261"/>
    </row>
    <row r="126" spans="1:8" ht="27" customHeight="1">
      <c r="A126" s="261"/>
      <c r="F126" s="361">
        <v>9</v>
      </c>
      <c r="G126" s="450">
        <v>1.036</v>
      </c>
      <c r="H126" s="261"/>
    </row>
    <row r="127" spans="1:8" ht="27" customHeight="1">
      <c r="A127" s="261"/>
      <c r="F127" s="361">
        <v>9.5</v>
      </c>
      <c r="G127" s="450">
        <v>1.038</v>
      </c>
      <c r="H127" s="261"/>
    </row>
    <row r="128" spans="1:8" ht="27" customHeight="1">
      <c r="A128" s="261"/>
      <c r="F128" s="361">
        <v>10</v>
      </c>
      <c r="G128" s="450">
        <v>1.04</v>
      </c>
      <c r="H128" s="261"/>
    </row>
    <row r="129" spans="1:8" ht="27" customHeight="1">
      <c r="A129" s="261"/>
      <c r="F129" s="361">
        <v>10.5</v>
      </c>
      <c r="G129" s="450">
        <v>1.042</v>
      </c>
      <c r="H129" s="261"/>
    </row>
    <row r="130" spans="1:8" ht="27" customHeight="1">
      <c r="A130" s="261"/>
      <c r="F130" s="361">
        <v>11</v>
      </c>
      <c r="G130" s="450">
        <v>1.044</v>
      </c>
      <c r="H130" s="261"/>
    </row>
    <row r="131" spans="1:8" ht="27" customHeight="1">
      <c r="A131" s="261"/>
      <c r="F131" s="361">
        <v>11.5</v>
      </c>
      <c r="G131" s="450">
        <v>1.046</v>
      </c>
      <c r="H131" s="261"/>
    </row>
    <row r="132" spans="1:8" ht="27" customHeight="1">
      <c r="A132" s="261"/>
      <c r="F132" s="361">
        <v>12</v>
      </c>
      <c r="G132" s="450">
        <v>1.048</v>
      </c>
      <c r="H132" s="261"/>
    </row>
    <row r="133" spans="1:8" ht="27" customHeight="1">
      <c r="A133" s="261"/>
      <c r="F133" s="361">
        <v>12.5</v>
      </c>
      <c r="G133" s="450">
        <v>1.05</v>
      </c>
      <c r="H133" s="261"/>
    </row>
    <row r="134" spans="1:8" ht="27" customHeight="1">
      <c r="A134" s="261"/>
      <c r="F134" s="361">
        <v>13</v>
      </c>
      <c r="G134" s="450">
        <v>1.0529999999999999</v>
      </c>
      <c r="H134" s="261"/>
    </row>
    <row r="135" spans="1:8" ht="27" customHeight="1">
      <c r="A135" s="261"/>
      <c r="F135" s="361">
        <v>13.5</v>
      </c>
      <c r="G135" s="450">
        <v>1.0549999999999999</v>
      </c>
      <c r="H135" s="261"/>
    </row>
    <row r="136" spans="1:8" ht="27" customHeight="1">
      <c r="A136" s="261"/>
      <c r="F136" s="361">
        <v>14</v>
      </c>
      <c r="G136" s="450">
        <v>1.0569999999999999</v>
      </c>
      <c r="H136" s="261"/>
    </row>
    <row r="137" spans="1:8" ht="27" customHeight="1">
      <c r="A137" s="261"/>
      <c r="F137" s="361">
        <v>14.5</v>
      </c>
      <c r="G137" s="450">
        <v>1.0589999999999999</v>
      </c>
      <c r="H137" s="261"/>
    </row>
    <row r="138" spans="1:8" ht="27" customHeight="1">
      <c r="A138" s="261"/>
      <c r="F138" s="361">
        <v>15</v>
      </c>
      <c r="G138" s="450">
        <v>1.0609999999999999</v>
      </c>
      <c r="H138" s="261"/>
    </row>
    <row r="139" spans="1:8" ht="27" customHeight="1">
      <c r="A139" s="261"/>
      <c r="F139" s="361">
        <v>15.5</v>
      </c>
      <c r="G139" s="450">
        <v>1.0629999999999999</v>
      </c>
      <c r="H139" s="261"/>
    </row>
    <row r="140" spans="1:8" ht="27" customHeight="1">
      <c r="A140" s="261"/>
      <c r="F140" s="361">
        <v>16</v>
      </c>
      <c r="G140" s="450">
        <v>1.0649999999999999</v>
      </c>
      <c r="H140" s="261"/>
    </row>
    <row r="141" spans="1:8" ht="27" customHeight="1">
      <c r="A141" s="261"/>
      <c r="F141" s="361">
        <v>16.5</v>
      </c>
      <c r="G141" s="450">
        <v>1.0680000000000001</v>
      </c>
      <c r="H141" s="261"/>
    </row>
    <row r="142" spans="1:8" ht="27" customHeight="1">
      <c r="A142" s="261"/>
      <c r="F142" s="361">
        <v>17</v>
      </c>
      <c r="G142" s="450">
        <v>1.07</v>
      </c>
      <c r="H142" s="261"/>
    </row>
    <row r="143" spans="1:8" ht="27" customHeight="1">
      <c r="A143" s="261"/>
      <c r="F143" s="361">
        <v>17.5</v>
      </c>
      <c r="G143" s="450">
        <v>1.0720000000000001</v>
      </c>
      <c r="H143" s="261"/>
    </row>
    <row r="144" spans="1:8" ht="27" customHeight="1">
      <c r="A144" s="261"/>
      <c r="F144" s="361">
        <v>18</v>
      </c>
      <c r="G144" s="450">
        <v>1.0740000000000001</v>
      </c>
      <c r="H144" s="261"/>
    </row>
    <row r="145" spans="1:8" ht="27" customHeight="1">
      <c r="A145" s="261"/>
      <c r="F145" s="361">
        <v>18.5</v>
      </c>
      <c r="G145" s="450">
        <v>1.0760000000000001</v>
      </c>
      <c r="H145" s="261"/>
    </row>
    <row r="146" spans="1:8" ht="27" customHeight="1">
      <c r="A146" s="261"/>
      <c r="F146" s="361">
        <v>19</v>
      </c>
      <c r="G146" s="450">
        <v>1.079</v>
      </c>
      <c r="H146" s="261"/>
    </row>
    <row r="147" spans="1:8" ht="27" customHeight="1">
      <c r="A147" s="261"/>
      <c r="F147" s="361">
        <v>19.5</v>
      </c>
      <c r="G147" s="450">
        <v>1.081</v>
      </c>
      <c r="H147" s="261"/>
    </row>
    <row r="148" spans="1:8" ht="27" customHeight="1">
      <c r="A148" s="261"/>
      <c r="F148" s="361">
        <v>20</v>
      </c>
      <c r="G148" s="450">
        <v>1.083</v>
      </c>
      <c r="H148" s="261"/>
    </row>
    <row r="149" spans="1:8" ht="27" customHeight="1">
      <c r="A149" s="261"/>
      <c r="F149" s="361">
        <v>20.5</v>
      </c>
      <c r="G149" s="450">
        <v>1.085</v>
      </c>
      <c r="H149" s="261"/>
    </row>
    <row r="150" spans="1:8" ht="27" customHeight="1">
      <c r="A150" s="261"/>
      <c r="F150" s="361">
        <v>21</v>
      </c>
      <c r="G150" s="450">
        <v>1.087</v>
      </c>
      <c r="H150" s="261"/>
    </row>
    <row r="151" spans="1:8" ht="27" customHeight="1">
      <c r="A151" s="261"/>
      <c r="F151" s="361">
        <v>21.5</v>
      </c>
      <c r="G151" s="450">
        <v>1.0900000000000001</v>
      </c>
      <c r="H151" s="261"/>
    </row>
    <row r="152" spans="1:8" ht="27" customHeight="1">
      <c r="A152" s="261"/>
      <c r="F152" s="361">
        <v>22</v>
      </c>
      <c r="G152" s="450">
        <v>1.0920000000000001</v>
      </c>
      <c r="H152" s="261"/>
    </row>
    <row r="153" spans="1:8" ht="27" customHeight="1">
      <c r="A153" s="261"/>
      <c r="F153" s="361">
        <v>22.5</v>
      </c>
      <c r="G153" s="450">
        <v>1.0940000000000001</v>
      </c>
      <c r="H153" s="261"/>
    </row>
    <row r="154" spans="1:8" ht="27" customHeight="1">
      <c r="A154" s="261"/>
      <c r="F154" s="361">
        <v>23</v>
      </c>
      <c r="G154" s="450">
        <v>1.0960000000000001</v>
      </c>
      <c r="H154" s="261"/>
    </row>
    <row r="155" spans="1:8" ht="27" customHeight="1">
      <c r="A155" s="261"/>
      <c r="F155" s="361">
        <v>23.5</v>
      </c>
      <c r="G155" s="450">
        <v>1.099</v>
      </c>
      <c r="H155" s="261"/>
    </row>
    <row r="156" spans="1:8" ht="27" customHeight="1">
      <c r="A156" s="261"/>
      <c r="F156" s="361">
        <v>24</v>
      </c>
      <c r="G156" s="450">
        <v>1.101</v>
      </c>
      <c r="H156" s="261"/>
    </row>
    <row r="157" spans="1:8" ht="27" customHeight="1">
      <c r="A157" s="261"/>
      <c r="F157" s="361">
        <v>24.5</v>
      </c>
      <c r="G157" s="450">
        <v>1.103</v>
      </c>
      <c r="H157" s="261"/>
    </row>
    <row r="158" spans="1:8" ht="27" customHeight="1">
      <c r="A158" s="261"/>
      <c r="F158" s="361">
        <v>25</v>
      </c>
      <c r="G158" s="450">
        <v>1.1060000000000001</v>
      </c>
      <c r="H158" s="261"/>
    </row>
    <row r="159" spans="1:8" ht="27" customHeight="1">
      <c r="A159" s="261"/>
      <c r="F159" s="361">
        <v>25.5</v>
      </c>
      <c r="G159" s="450">
        <v>1.1080000000000001</v>
      </c>
      <c r="H159" s="261"/>
    </row>
    <row r="160" spans="1:8" ht="27" customHeight="1">
      <c r="A160" s="261"/>
      <c r="F160" s="361">
        <v>26</v>
      </c>
      <c r="G160" s="450">
        <v>1.1100000000000001</v>
      </c>
      <c r="H160" s="261"/>
    </row>
    <row r="161" spans="1:8" ht="27" customHeight="1">
      <c r="A161" s="261"/>
      <c r="F161" s="361">
        <v>26.5</v>
      </c>
      <c r="G161" s="450">
        <v>1.113</v>
      </c>
      <c r="H161" s="261"/>
    </row>
    <row r="162" spans="1:8" ht="27" customHeight="1">
      <c r="A162" s="261"/>
      <c r="F162" s="361">
        <v>27</v>
      </c>
      <c r="G162" s="450">
        <v>1.115</v>
      </c>
      <c r="H162" s="261"/>
    </row>
    <row r="163" spans="1:8" ht="27" customHeight="1">
      <c r="A163" s="261"/>
      <c r="F163" s="361">
        <v>27.5</v>
      </c>
      <c r="G163" s="450">
        <v>1.117</v>
      </c>
      <c r="H163" s="261"/>
    </row>
    <row r="164" spans="1:8" ht="27" customHeight="1">
      <c r="A164" s="261"/>
      <c r="F164" s="361">
        <v>28</v>
      </c>
      <c r="G164" s="450">
        <v>1.1200000000000001</v>
      </c>
      <c r="H164" s="261"/>
    </row>
    <row r="165" spans="1:8" ht="27" customHeight="1">
      <c r="A165" s="261"/>
      <c r="F165" s="361">
        <v>28.5</v>
      </c>
      <c r="G165" s="450">
        <v>1.1220000000000001</v>
      </c>
      <c r="H165" s="261"/>
    </row>
    <row r="166" spans="1:8" ht="27" customHeight="1">
      <c r="A166" s="261"/>
      <c r="F166" s="361">
        <v>29</v>
      </c>
      <c r="G166" s="450">
        <v>1.1240000000000001</v>
      </c>
      <c r="H166" s="261"/>
    </row>
    <row r="167" spans="1:8" ht="27" customHeight="1">
      <c r="A167" s="261"/>
      <c r="F167" s="361">
        <v>29.5</v>
      </c>
      <c r="G167" s="450">
        <v>1.127</v>
      </c>
      <c r="H167" s="261"/>
    </row>
    <row r="168" spans="1:8" ht="27" customHeight="1">
      <c r="A168" s="261"/>
      <c r="F168" s="361">
        <v>30</v>
      </c>
      <c r="G168" s="450">
        <v>1.129</v>
      </c>
      <c r="H168" s="261"/>
    </row>
    <row r="169" spans="1:8" ht="27" customHeight="1">
      <c r="A169" s="261"/>
      <c r="F169" s="361">
        <v>30.5</v>
      </c>
      <c r="G169" s="450">
        <v>1.1319999999999999</v>
      </c>
      <c r="H169" s="261"/>
    </row>
    <row r="170" spans="1:8" ht="27" customHeight="1">
      <c r="A170" s="261"/>
      <c r="F170" s="361">
        <v>31</v>
      </c>
      <c r="G170" s="450">
        <v>1.1339999999999999</v>
      </c>
      <c r="H170" s="261"/>
    </row>
    <row r="171" spans="1:8" ht="27" customHeight="1">
      <c r="A171" s="261"/>
      <c r="F171" s="361">
        <v>31.5</v>
      </c>
      <c r="G171" s="450">
        <v>1.1359999999999999</v>
      </c>
      <c r="H171" s="261"/>
    </row>
    <row r="172" spans="1:8" ht="27" customHeight="1">
      <c r="A172" s="261"/>
      <c r="F172" s="361">
        <v>32</v>
      </c>
      <c r="G172" s="450">
        <v>1.139</v>
      </c>
      <c r="H172" s="261"/>
    </row>
    <row r="173" spans="1:8" ht="27" customHeight="1">
      <c r="A173" s="261"/>
      <c r="F173" s="361">
        <v>32.5</v>
      </c>
      <c r="G173" s="450">
        <v>1.141</v>
      </c>
      <c r="H173" s="261"/>
    </row>
    <row r="174" spans="1:8" ht="27" customHeight="1">
      <c r="A174" s="261"/>
      <c r="F174" s="361">
        <v>33</v>
      </c>
      <c r="G174" s="450">
        <v>1.1439999999999999</v>
      </c>
      <c r="H174" s="261"/>
    </row>
    <row r="175" spans="1:8" ht="27" customHeight="1">
      <c r="A175" s="261"/>
      <c r="F175" s="361">
        <v>33.5</v>
      </c>
      <c r="G175" s="450">
        <v>1.1459999999999999</v>
      </c>
      <c r="H175" s="261"/>
    </row>
    <row r="176" spans="1:8" ht="27" customHeight="1">
      <c r="A176" s="261"/>
      <c r="F176" s="361">
        <v>34</v>
      </c>
      <c r="G176" s="450">
        <v>1.149</v>
      </c>
      <c r="H176" s="261"/>
    </row>
    <row r="177" spans="1:8" ht="27" customHeight="1">
      <c r="A177" s="261"/>
      <c r="F177" s="361">
        <v>34.5</v>
      </c>
      <c r="G177" s="450">
        <v>1.151</v>
      </c>
      <c r="H177" s="261"/>
    </row>
    <row r="178" spans="1:8" ht="27" customHeight="1">
      <c r="A178" s="261"/>
      <c r="F178" s="361">
        <v>35</v>
      </c>
      <c r="G178" s="450">
        <v>1.1539999999999999</v>
      </c>
      <c r="H178" s="261"/>
    </row>
    <row r="179" spans="1:8" ht="27" customHeight="1">
      <c r="A179" s="261"/>
      <c r="F179" s="361">
        <v>35.5</v>
      </c>
      <c r="G179" s="450">
        <v>1.1559999999999999</v>
      </c>
      <c r="H179" s="261"/>
    </row>
    <row r="180" spans="1:8" ht="27" customHeight="1">
      <c r="A180" s="261"/>
      <c r="F180" s="361">
        <v>36</v>
      </c>
      <c r="G180" s="450">
        <v>1.159</v>
      </c>
      <c r="H180" s="261"/>
    </row>
    <row r="181" spans="1:8" ht="27" customHeight="1">
      <c r="A181" s="261"/>
      <c r="F181" s="361">
        <v>36.5</v>
      </c>
      <c r="G181" s="450">
        <v>1.161</v>
      </c>
      <c r="H181" s="261"/>
    </row>
    <row r="182" spans="1:8" ht="27" customHeight="1">
      <c r="A182" s="261"/>
      <c r="F182" s="361">
        <v>37</v>
      </c>
      <c r="G182" s="450">
        <v>1.1639999999999999</v>
      </c>
      <c r="H182" s="261"/>
    </row>
    <row r="183" spans="1:8" ht="27" customHeight="1">
      <c r="A183" s="261"/>
      <c r="F183" s="361">
        <v>37.5</v>
      </c>
      <c r="G183" s="450">
        <v>1.1659999999999999</v>
      </c>
      <c r="H183" s="261"/>
    </row>
    <row r="184" spans="1:8" ht="27" customHeight="1">
      <c r="A184" s="261"/>
      <c r="F184" s="361">
        <v>38</v>
      </c>
      <c r="G184" s="450">
        <v>1.169</v>
      </c>
      <c r="H184" s="261"/>
    </row>
    <row r="185" spans="1:8" ht="27" customHeight="1">
      <c r="A185" s="261"/>
      <c r="F185" s="361">
        <v>38.5</v>
      </c>
      <c r="G185" s="450">
        <v>1.171</v>
      </c>
      <c r="H185" s="261"/>
    </row>
    <row r="186" spans="1:8" ht="27" customHeight="1">
      <c r="A186" s="261"/>
      <c r="F186" s="361">
        <v>39</v>
      </c>
      <c r="G186" s="450">
        <v>1.1739999999999999</v>
      </c>
      <c r="H186" s="261"/>
    </row>
    <row r="187" spans="1:8" ht="27" customHeight="1">
      <c r="A187" s="261"/>
      <c r="F187" s="361">
        <v>39.5</v>
      </c>
      <c r="G187" s="450">
        <v>1.1759999999999999</v>
      </c>
      <c r="H187" s="261"/>
    </row>
    <row r="188" spans="1:8" ht="27" customHeight="1">
      <c r="A188" s="261"/>
      <c r="F188" s="361">
        <v>40</v>
      </c>
      <c r="G188" s="450">
        <v>1.179</v>
      </c>
      <c r="H188" s="261"/>
    </row>
    <row r="189" spans="1:8" ht="27" customHeight="1">
      <c r="E189" s="462"/>
    </row>
  </sheetData>
  <sheetProtection selectLockedCells="1"/>
  <mergeCells count="3">
    <mergeCell ref="B56:D56"/>
    <mergeCell ref="F107:G107"/>
    <mergeCell ref="H3:I3"/>
  </mergeCells>
  <conditionalFormatting sqref="E56">
    <cfRule type="expression" dxfId="10" priority="4">
      <formula>$E$56=0</formula>
    </cfRule>
  </conditionalFormatting>
  <conditionalFormatting sqref="E80:E86">
    <cfRule type="expression" dxfId="9" priority="2">
      <formula>#REF!=0</formula>
    </cfRule>
  </conditionalFormatting>
  <hyperlinks>
    <hyperlink ref="B72" r:id="rId1"/>
    <hyperlink ref="B71" r:id="rId2"/>
    <hyperlink ref="B22" r:id="rId3" display="Капачки"/>
    <hyperlink ref="B23" r:id="rId4"/>
    <hyperlink ref="B18" r:id="rId5"/>
    <hyperlink ref="B34" r:id="rId6" display="Размесване на  38°С - Протеаза на 55°С"/>
    <hyperlink ref="B47" r:id="rId7" display="Жатец       10      (ароматен; чешки; алфа 3,4%)"/>
    <hyperlink ref="B13" r:id="rId8" display="Viena Malt (Виенски малц) Вайерман Германия"/>
    <hyperlink ref="B11" r:id="rId9" display="7.2 lbs. (3.3 kg) pale wheat malt"/>
    <hyperlink ref="B14" r:id="rId10" display="CARAFA® Special Type 2"/>
    <hyperlink ref="B12" r:id="rId11" display="CARAMUNICH® TYPE 2"/>
    <hyperlink ref="B21" r:id="rId12" display="МАЯ! ПО-ЕВТИНО Е, СТИГА ЕКСПЕРИМЕНТИ"/>
    <hyperlink ref="B24" r:id="rId13"/>
    <hyperlink ref="B58" r:id="rId14"/>
    <hyperlink ref="B1" r:id="rId15"/>
  </hyperlinks>
  <printOptions horizontalCentered="1"/>
  <pageMargins left="0.23622047244094491" right="0.23622047244094491" top="0.23622047244094491" bottom="0.11811023622047245" header="0.31496062992125984" footer="0.31496062992125984"/>
  <pageSetup paperSize="9" orientation="portrait" r:id="rId16"/>
</worksheet>
</file>

<file path=xl/worksheets/sheet14.xml><?xml version="1.0" encoding="utf-8"?>
<worksheet xmlns="http://schemas.openxmlformats.org/spreadsheetml/2006/main" xmlns:r="http://schemas.openxmlformats.org/officeDocument/2006/relationships">
  <dimension ref="A1:O170"/>
  <sheetViews>
    <sheetView topLeftCell="A10" workbookViewId="0">
      <selection activeCell="I19" sqref="I19"/>
    </sheetView>
  </sheetViews>
  <sheetFormatPr defaultColWidth="8.85546875" defaultRowHeight="12.75"/>
  <cols>
    <col min="1" max="1" width="3.7109375" style="580" customWidth="1"/>
    <col min="2" max="2" width="55.7109375" style="624" customWidth="1"/>
    <col min="3" max="3" width="12.7109375" style="625" customWidth="1"/>
    <col min="4" max="4" width="12.7109375" style="580" customWidth="1"/>
    <col min="5" max="5" width="12.7109375" style="626" customWidth="1"/>
    <col min="6" max="7" width="12.7109375" style="627" customWidth="1"/>
    <col min="8" max="19" width="12.7109375" style="580" customWidth="1"/>
    <col min="20" max="16384" width="8.85546875" style="580"/>
  </cols>
  <sheetData>
    <row r="1" spans="1:11" s="244" customFormat="1" ht="24.95" customHeight="1">
      <c r="A1" s="243"/>
      <c r="B1" s="568" t="s">
        <v>712</v>
      </c>
      <c r="C1" s="245" t="s">
        <v>221</v>
      </c>
      <c r="D1" s="245" t="s">
        <v>349</v>
      </c>
      <c r="E1" s="245" t="s">
        <v>144</v>
      </c>
      <c r="H1" s="246"/>
    </row>
    <row r="2" spans="1:11" s="244" customFormat="1" ht="24.95" customHeight="1">
      <c r="A2" s="243"/>
      <c r="B2" s="569" t="s">
        <v>750</v>
      </c>
      <c r="C2" s="245">
        <v>15</v>
      </c>
      <c r="D2" s="248">
        <v>1</v>
      </c>
      <c r="E2" s="249">
        <v>42708</v>
      </c>
    </row>
    <row r="3" spans="1:11" s="244" customFormat="1" ht="24.95" customHeight="1">
      <c r="A3" s="243"/>
      <c r="B3" s="250" t="s">
        <v>641</v>
      </c>
      <c r="C3" s="251" t="s">
        <v>95</v>
      </c>
      <c r="D3" s="251" t="s">
        <v>385</v>
      </c>
      <c r="E3" s="251" t="s">
        <v>387</v>
      </c>
      <c r="F3" s="251" t="s">
        <v>528</v>
      </c>
      <c r="I3" s="668"/>
      <c r="J3" s="672" t="s">
        <v>529</v>
      </c>
      <c r="K3" s="669"/>
    </row>
    <row r="4" spans="1:11" s="244" customFormat="1" ht="24.95" customHeight="1">
      <c r="A4" s="243"/>
      <c r="B4" s="250" t="s">
        <v>615</v>
      </c>
      <c r="C4" s="407">
        <v>5</v>
      </c>
      <c r="D4" s="407">
        <f>C4*6.6</f>
        <v>33</v>
      </c>
      <c r="E4" s="407">
        <f>C4*5.4</f>
        <v>27</v>
      </c>
      <c r="F4" s="451">
        <f>E4*0.93*2</f>
        <v>50.220000000000006</v>
      </c>
      <c r="I4" s="565" t="s">
        <v>530</v>
      </c>
      <c r="J4" s="671">
        <v>0.12</v>
      </c>
      <c r="K4" s="670">
        <v>30</v>
      </c>
    </row>
    <row r="5" spans="1:11" s="244" customFormat="1" ht="24.95" customHeight="1">
      <c r="A5" s="243"/>
      <c r="B5" s="250" t="s">
        <v>638</v>
      </c>
      <c r="C5" s="255"/>
      <c r="D5" s="255"/>
      <c r="E5" s="290"/>
      <c r="F5" s="255"/>
      <c r="I5" s="576" t="s">
        <v>531</v>
      </c>
      <c r="J5" s="671"/>
      <c r="K5" s="670">
        <v>45</v>
      </c>
    </row>
    <row r="6" spans="1:11" s="244" customFormat="1" ht="24.95" customHeight="1">
      <c r="A6" s="243"/>
      <c r="B6" s="250" t="s">
        <v>352</v>
      </c>
      <c r="C6" s="251" t="s">
        <v>386</v>
      </c>
      <c r="D6" s="251" t="s">
        <v>46</v>
      </c>
      <c r="E6" s="249"/>
      <c r="F6" s="251" t="s">
        <v>541</v>
      </c>
      <c r="I6" s="576" t="s">
        <v>649</v>
      </c>
      <c r="J6" s="671">
        <v>2.9000000000000001E-2</v>
      </c>
      <c r="K6" s="670">
        <v>14</v>
      </c>
    </row>
    <row r="7" spans="1:11" s="244" customFormat="1" ht="24.95" customHeight="1">
      <c r="A7" s="243"/>
      <c r="B7" s="250" t="s">
        <v>639</v>
      </c>
      <c r="C7" s="256">
        <f>SUM(F10:F28)</f>
        <v>31.302660000000003</v>
      </c>
      <c r="D7" s="257">
        <f>IF(F7=0," ",C7/F7)</f>
        <v>0.6804926086956522</v>
      </c>
      <c r="E7" s="249"/>
      <c r="F7" s="467">
        <v>46</v>
      </c>
      <c r="I7" s="576" t="s">
        <v>741</v>
      </c>
      <c r="J7" s="671">
        <v>7.0999999999999994E-2</v>
      </c>
      <c r="K7" s="670">
        <v>0</v>
      </c>
    </row>
    <row r="8" spans="1:11" s="244" customFormat="1" ht="24.95" customHeight="1">
      <c r="A8" s="243"/>
      <c r="B8" s="250" t="s">
        <v>640</v>
      </c>
      <c r="C8" s="245"/>
      <c r="D8" s="248"/>
      <c r="E8" s="249"/>
      <c r="I8" s="576" t="s">
        <v>532</v>
      </c>
      <c r="J8" s="671"/>
      <c r="K8" s="670">
        <v>18</v>
      </c>
    </row>
    <row r="9" spans="1:11" s="244" customFormat="1" ht="24.95" customHeight="1">
      <c r="A9" s="243"/>
      <c r="B9" s="258"/>
      <c r="C9" s="245"/>
      <c r="D9" s="248"/>
      <c r="E9" s="249"/>
      <c r="I9" s="576"/>
      <c r="J9" s="671"/>
      <c r="K9" s="670"/>
    </row>
    <row r="10" spans="1:11" s="244" customFormat="1" ht="24.95" customHeight="1">
      <c r="A10" s="243"/>
      <c r="B10" s="259" t="s">
        <v>95</v>
      </c>
      <c r="C10" s="260" t="s">
        <v>42</v>
      </c>
      <c r="D10" s="260" t="s">
        <v>354</v>
      </c>
      <c r="E10" s="260" t="s">
        <v>41</v>
      </c>
      <c r="F10" s="245" t="s">
        <v>41</v>
      </c>
      <c r="G10" s="299" t="s">
        <v>653</v>
      </c>
    </row>
    <row r="11" spans="1:11" s="261" customFormat="1" ht="24.95" customHeight="1">
      <c r="A11" s="243">
        <v>1</v>
      </c>
      <c r="B11" s="265" t="s">
        <v>434</v>
      </c>
      <c r="C11" s="402">
        <f>C4*D11</f>
        <v>4.4000000000000004</v>
      </c>
      <c r="D11" s="411">
        <v>0.88</v>
      </c>
      <c r="E11" s="501">
        <v>2.15</v>
      </c>
      <c r="F11" s="269">
        <f>C11*E11</f>
        <v>9.4600000000000009</v>
      </c>
      <c r="G11" s="261">
        <v>4.2</v>
      </c>
      <c r="I11" s="576"/>
      <c r="J11" s="671"/>
      <c r="K11" s="670"/>
    </row>
    <row r="12" spans="1:11" s="261" customFormat="1" ht="24.95" customHeight="1">
      <c r="A12" s="243">
        <v>2</v>
      </c>
      <c r="B12" s="265" t="s">
        <v>654</v>
      </c>
      <c r="C12" s="403">
        <f>C4*D12</f>
        <v>0.15</v>
      </c>
      <c r="D12" s="412">
        <v>0.03</v>
      </c>
      <c r="E12" s="501">
        <v>2.9</v>
      </c>
      <c r="F12" s="284">
        <f>C12*E12</f>
        <v>0.435</v>
      </c>
      <c r="G12" s="261">
        <v>0.2</v>
      </c>
      <c r="H12" s="576"/>
      <c r="J12" s="573" t="s">
        <v>433</v>
      </c>
      <c r="K12" s="676" t="s">
        <v>742</v>
      </c>
    </row>
    <row r="13" spans="1:11" s="261" customFormat="1" ht="24.95" customHeight="1">
      <c r="A13" s="243">
        <v>3</v>
      </c>
      <c r="B13" s="265" t="s">
        <v>657</v>
      </c>
      <c r="C13" s="403">
        <f>C4*D13</f>
        <v>0.15</v>
      </c>
      <c r="D13" s="412">
        <v>0.03</v>
      </c>
      <c r="E13" s="501">
        <v>2.7</v>
      </c>
      <c r="F13" s="284">
        <f>C13*E13</f>
        <v>0.40500000000000003</v>
      </c>
      <c r="G13" s="261">
        <v>0.2</v>
      </c>
      <c r="H13" s="576"/>
      <c r="J13" s="573" t="s">
        <v>713</v>
      </c>
      <c r="K13" s="676" t="s">
        <v>743</v>
      </c>
    </row>
    <row r="14" spans="1:11" s="261" customFormat="1" ht="24.95" customHeight="1">
      <c r="A14" s="243">
        <v>4</v>
      </c>
      <c r="B14" s="265" t="s">
        <v>656</v>
      </c>
      <c r="C14" s="403">
        <f>C4*D14</f>
        <v>0.15</v>
      </c>
      <c r="D14" s="412">
        <v>0.03</v>
      </c>
      <c r="E14" s="501">
        <v>3.05</v>
      </c>
      <c r="F14" s="284">
        <f t="shared" ref="F14:F15" si="0">C14*E14</f>
        <v>0.45749999999999996</v>
      </c>
      <c r="G14" s="261">
        <v>0.2</v>
      </c>
      <c r="H14" s="550"/>
      <c r="J14" s="573" t="s">
        <v>714</v>
      </c>
      <c r="K14" s="676" t="s">
        <v>744</v>
      </c>
    </row>
    <row r="15" spans="1:11" s="261" customFormat="1" ht="24.95" customHeight="1">
      <c r="A15" s="243">
        <v>5</v>
      </c>
      <c r="B15" s="265" t="s">
        <v>655</v>
      </c>
      <c r="C15" s="404">
        <f>C4*D15</f>
        <v>0.15</v>
      </c>
      <c r="D15" s="413">
        <v>0.03</v>
      </c>
      <c r="E15" s="501">
        <v>3.05</v>
      </c>
      <c r="F15" s="274">
        <f t="shared" si="0"/>
        <v>0.45749999999999996</v>
      </c>
      <c r="G15" s="551">
        <v>0.2</v>
      </c>
      <c r="H15" s="550"/>
      <c r="J15" s="573" t="s">
        <v>748</v>
      </c>
      <c r="K15" s="676" t="s">
        <v>745</v>
      </c>
    </row>
    <row r="16" spans="1:11" s="261" customFormat="1" ht="24.95" customHeight="1">
      <c r="A16" s="243"/>
      <c r="C16" s="276"/>
      <c r="D16" s="277"/>
      <c r="E16" s="501"/>
      <c r="F16" s="279"/>
      <c r="G16" s="336">
        <f>SUM(G11:G15)</f>
        <v>5.0000000000000009</v>
      </c>
      <c r="H16" s="552"/>
      <c r="J16" s="573" t="s">
        <v>715</v>
      </c>
      <c r="K16" s="676" t="s">
        <v>746</v>
      </c>
    </row>
    <row r="17" spans="1:11" s="255" customFormat="1" ht="24.95" customHeight="1">
      <c r="A17" s="275"/>
      <c r="B17"/>
      <c r="C17" s="276"/>
      <c r="D17" s="277"/>
      <c r="E17" s="278"/>
      <c r="F17" s="279"/>
      <c r="J17" s="573" t="s">
        <v>716</v>
      </c>
      <c r="K17" s="676" t="s">
        <v>747</v>
      </c>
    </row>
    <row r="18" spans="1:11" s="255" customFormat="1" ht="24.95" customHeight="1">
      <c r="A18" s="275"/>
      <c r="B18" s="259" t="s">
        <v>337</v>
      </c>
      <c r="C18" s="554"/>
      <c r="D18" s="532" t="s">
        <v>216</v>
      </c>
      <c r="E18" s="281" t="s">
        <v>336</v>
      </c>
      <c r="F18" s="279"/>
      <c r="I18" s="264"/>
      <c r="J18" s="677" t="s">
        <v>749</v>
      </c>
    </row>
    <row r="19" spans="1:11" s="261" customFormat="1" ht="24.95" customHeight="1">
      <c r="A19" s="243">
        <v>6</v>
      </c>
      <c r="B19" s="265" t="s">
        <v>658</v>
      </c>
      <c r="D19" s="553">
        <f>SUM(C47:C49)</f>
        <v>49.5</v>
      </c>
      <c r="E19" s="504">
        <v>89</v>
      </c>
      <c r="F19" s="401">
        <f>(D19/1000)*E19</f>
        <v>4.4055</v>
      </c>
      <c r="H19" s="272"/>
      <c r="I19" s="681" t="s">
        <v>751</v>
      </c>
    </row>
    <row r="20" spans="1:11" s="255" customFormat="1" ht="24.95" customHeight="1">
      <c r="A20" s="275"/>
      <c r="B20" s="261"/>
      <c r="C20" s="545"/>
      <c r="D20" s="276"/>
      <c r="E20" s="278"/>
      <c r="F20" s="279"/>
      <c r="I20" t="s">
        <v>752</v>
      </c>
    </row>
    <row r="21" spans="1:11" s="255" customFormat="1" ht="24.95" customHeight="1">
      <c r="A21" s="275"/>
      <c r="B21" s="259" t="s">
        <v>355</v>
      </c>
      <c r="C21" s="280"/>
      <c r="D21" s="532"/>
      <c r="E21" s="281" t="s">
        <v>448</v>
      </c>
      <c r="F21" s="279"/>
      <c r="I21" t="s">
        <v>753</v>
      </c>
    </row>
    <row r="22" spans="1:11" s="261" customFormat="1" ht="24.95" customHeight="1">
      <c r="A22" s="243">
        <v>7</v>
      </c>
      <c r="B22" s="265" t="s">
        <v>659</v>
      </c>
      <c r="C22" s="287"/>
      <c r="D22" s="431">
        <v>1</v>
      </c>
      <c r="E22" s="363">
        <v>4</v>
      </c>
      <c r="F22" s="269">
        <f>D22*E22</f>
        <v>4</v>
      </c>
      <c r="H22" s="290"/>
      <c r="I22" t="s">
        <v>754</v>
      </c>
    </row>
    <row r="23" spans="1:11" s="261" customFormat="1" ht="24.95" customHeight="1">
      <c r="A23" s="243">
        <v>8</v>
      </c>
      <c r="B23" s="265" t="s">
        <v>25</v>
      </c>
      <c r="C23" s="267"/>
      <c r="D23" s="466">
        <f>F4+2</f>
        <v>52.220000000000006</v>
      </c>
      <c r="E23" s="363">
        <v>2.8000000000000001E-2</v>
      </c>
      <c r="F23" s="284">
        <f>D23*E23</f>
        <v>1.4621600000000001</v>
      </c>
      <c r="H23" s="264"/>
      <c r="I23" t="s">
        <v>755</v>
      </c>
    </row>
    <row r="24" spans="1:11" s="261" customFormat="1" ht="24.95" customHeight="1">
      <c r="A24" s="243">
        <v>9</v>
      </c>
      <c r="B24" s="265" t="s">
        <v>356</v>
      </c>
      <c r="D24" s="433">
        <f>C4</f>
        <v>5</v>
      </c>
      <c r="E24" s="363">
        <v>0.25</v>
      </c>
      <c r="F24" s="284">
        <f>D24*E24</f>
        <v>1.25</v>
      </c>
      <c r="I24"/>
    </row>
    <row r="25" spans="1:11" s="261" customFormat="1" ht="24.95" customHeight="1">
      <c r="A25" s="243">
        <v>10</v>
      </c>
      <c r="B25" s="565" t="s">
        <v>403</v>
      </c>
      <c r="D25" s="533">
        <v>1</v>
      </c>
      <c r="E25" s="363">
        <v>1.3</v>
      </c>
      <c r="F25" s="274">
        <f>D25*E25</f>
        <v>1.3</v>
      </c>
      <c r="I25" t="s">
        <v>756</v>
      </c>
    </row>
    <row r="26" spans="1:11" s="261" customFormat="1" ht="24.95" customHeight="1">
      <c r="A26" s="243"/>
      <c r="E26" s="268"/>
      <c r="I26" t="s">
        <v>757</v>
      </c>
    </row>
    <row r="27" spans="1:11" s="261" customFormat="1" ht="24.95" customHeight="1">
      <c r="A27" s="243">
        <v>11</v>
      </c>
      <c r="B27" s="565" t="s">
        <v>43</v>
      </c>
      <c r="E27" s="268"/>
      <c r="F27" s="294">
        <v>5.67</v>
      </c>
      <c r="I27" t="s">
        <v>758</v>
      </c>
    </row>
    <row r="28" spans="1:11" s="261" customFormat="1" ht="24.95" customHeight="1">
      <c r="A28" s="243">
        <v>12</v>
      </c>
      <c r="B28" s="490" t="s">
        <v>565</v>
      </c>
      <c r="C28" s="490"/>
      <c r="D28" s="490"/>
      <c r="E28" s="491"/>
      <c r="F28" s="296">
        <v>2</v>
      </c>
      <c r="I28" t="s">
        <v>759</v>
      </c>
    </row>
    <row r="29" spans="1:11" s="261" customFormat="1" ht="24.95" customHeight="1">
      <c r="A29" s="243"/>
      <c r="D29" s="297"/>
      <c r="E29" s="305"/>
      <c r="F29" s="297"/>
      <c r="I29" t="s">
        <v>760</v>
      </c>
    </row>
    <row r="30" spans="1:11" s="261" customFormat="1" ht="24.95" customHeight="1">
      <c r="A30" s="243"/>
      <c r="B30" s="299"/>
      <c r="C30" s="373"/>
      <c r="D30" s="297"/>
      <c r="E30" s="305"/>
      <c r="I30" t="s">
        <v>761</v>
      </c>
    </row>
    <row r="31" spans="1:11" s="261" customFormat="1" ht="24.95" customHeight="1">
      <c r="B31" s="563" t="str">
        <f>("ГРАФИК"&amp;" "&amp;B1)</f>
        <v>ГРАФИК Yassno pivo</v>
      </c>
      <c r="C31" s="538" t="s">
        <v>441</v>
      </c>
      <c r="D31" s="448">
        <v>42708</v>
      </c>
      <c r="E31" s="449">
        <v>0.4375</v>
      </c>
      <c r="I31" t="s">
        <v>762</v>
      </c>
    </row>
    <row r="32" spans="1:11" s="261" customFormat="1" ht="24.95" customHeight="1">
      <c r="B32" s="261" t="s">
        <v>527</v>
      </c>
      <c r="C32" s="409" t="s">
        <v>99</v>
      </c>
      <c r="D32" s="409" t="s">
        <v>100</v>
      </c>
      <c r="E32" s="409" t="s">
        <v>101</v>
      </c>
      <c r="I32" t="s">
        <v>763</v>
      </c>
    </row>
    <row r="33" spans="1:9" s="261" customFormat="1" ht="24.95" customHeight="1">
      <c r="A33" s="434">
        <v>1</v>
      </c>
      <c r="B33" s="325" t="s">
        <v>543</v>
      </c>
      <c r="C33" s="407">
        <f>C4*3</f>
        <v>15</v>
      </c>
      <c r="D33" s="407">
        <f>C4*5</f>
        <v>25</v>
      </c>
      <c r="E33" s="253">
        <f>SUM(C33:D33)</f>
        <v>40</v>
      </c>
      <c r="F33" s="270"/>
      <c r="I33" t="s">
        <v>764</v>
      </c>
    </row>
    <row r="34" spans="1:9" s="261" customFormat="1" ht="24.95" customHeight="1">
      <c r="A34" s="434">
        <v>2</v>
      </c>
      <c r="B34" s="265" t="s">
        <v>675</v>
      </c>
      <c r="C34" s="419">
        <v>1.0416666666666666E-2</v>
      </c>
      <c r="D34" s="420">
        <v>0.45833333333333331</v>
      </c>
      <c r="E34" s="421">
        <f>IF(D34=0," ",D34+C34)</f>
        <v>0.46875</v>
      </c>
      <c r="H34" s="270"/>
      <c r="I34" t="s">
        <v>765</v>
      </c>
    </row>
    <row r="35" spans="1:9" s="261" customFormat="1" ht="24.95" customHeight="1">
      <c r="A35" s="434">
        <v>3</v>
      </c>
      <c r="B35" s="261" t="s">
        <v>672</v>
      </c>
      <c r="C35" s="419">
        <v>2.7777777777777776E-2</v>
      </c>
      <c r="D35" s="420">
        <v>0.47569444444444442</v>
      </c>
      <c r="E35" s="421">
        <f>IF(D35=0," ",D35+C35)</f>
        <v>0.50347222222222221</v>
      </c>
      <c r="H35" s="270"/>
      <c r="I35" t="s">
        <v>766</v>
      </c>
    </row>
    <row r="36" spans="1:9" s="261" customFormat="1" ht="24.95" customHeight="1">
      <c r="A36" s="434">
        <v>4</v>
      </c>
      <c r="B36" s="261" t="s">
        <v>674</v>
      </c>
      <c r="C36" s="419">
        <v>1.0416666666666666E-2</v>
      </c>
      <c r="D36" s="420">
        <v>0.51388888888888895</v>
      </c>
      <c r="E36" s="421">
        <f>IF(D36=0," ",D36+C36)</f>
        <v>0.52430555555555558</v>
      </c>
      <c r="H36" s="270"/>
    </row>
    <row r="37" spans="1:9" s="261" customFormat="1" ht="24.95" customHeight="1">
      <c r="A37" s="434">
        <v>5</v>
      </c>
      <c r="B37" s="261" t="s">
        <v>536</v>
      </c>
      <c r="E37" s="305"/>
      <c r="H37" s="270"/>
    </row>
    <row r="38" spans="1:9" s="261" customFormat="1" ht="24.95" customHeight="1">
      <c r="A38" s="434">
        <v>6</v>
      </c>
      <c r="B38" s="261" t="s">
        <v>578</v>
      </c>
      <c r="H38" s="270"/>
    </row>
    <row r="39" spans="1:9" s="261" customFormat="1" ht="24.95" customHeight="1">
      <c r="A39" s="434"/>
      <c r="D39" s="408" t="s">
        <v>584</v>
      </c>
      <c r="E39" s="409" t="s">
        <v>585</v>
      </c>
      <c r="H39" s="270"/>
    </row>
    <row r="40" spans="1:9" s="261" customFormat="1" ht="24.95" customHeight="1">
      <c r="A40" s="434">
        <v>7</v>
      </c>
      <c r="B40" s="301" t="s">
        <v>711</v>
      </c>
      <c r="D40" s="420">
        <v>0.53125</v>
      </c>
      <c r="E40" s="420">
        <v>0.51736111111111105</v>
      </c>
      <c r="H40" s="270"/>
    </row>
    <row r="41" spans="1:9" s="261" customFormat="1" ht="24.95" customHeight="1">
      <c r="A41" s="434">
        <v>8</v>
      </c>
      <c r="B41" s="244" t="s">
        <v>677</v>
      </c>
      <c r="C41" s="417">
        <v>21</v>
      </c>
      <c r="D41" s="417">
        <v>3</v>
      </c>
      <c r="E41" s="417">
        <v>13</v>
      </c>
      <c r="H41" s="270"/>
    </row>
    <row r="42" spans="1:9" s="261" customFormat="1" ht="24.95" customHeight="1">
      <c r="A42" s="434">
        <v>9</v>
      </c>
      <c r="B42" s="244" t="s">
        <v>676</v>
      </c>
      <c r="C42" s="560"/>
      <c r="D42" s="561"/>
      <c r="E42" s="460"/>
      <c r="H42" s="270"/>
    </row>
    <row r="43" spans="1:9" s="261" customFormat="1" ht="24.95" customHeight="1">
      <c r="A43" s="434">
        <v>10</v>
      </c>
      <c r="B43" s="244" t="s">
        <v>678</v>
      </c>
      <c r="C43" s="560"/>
      <c r="D43" s="562"/>
      <c r="E43" s="460"/>
      <c r="H43" s="270"/>
    </row>
    <row r="44" spans="1:9" s="261" customFormat="1" ht="24.95" customHeight="1">
      <c r="A44" s="434">
        <v>11</v>
      </c>
      <c r="B44" s="566" t="s">
        <v>642</v>
      </c>
      <c r="C44" s="516"/>
      <c r="D44" s="557" t="s">
        <v>581</v>
      </c>
      <c r="E44" s="460">
        <v>30.14</v>
      </c>
      <c r="H44" s="270"/>
    </row>
    <row r="45" spans="1:9" s="261" customFormat="1" ht="24.95" customHeight="1">
      <c r="A45" s="434"/>
      <c r="C45" s="408"/>
      <c r="D45" s="409"/>
      <c r="E45" s="305"/>
      <c r="H45" s="270"/>
    </row>
    <row r="46" spans="1:9" s="261" customFormat="1" ht="24.95" customHeight="1">
      <c r="A46" s="434">
        <v>12</v>
      </c>
      <c r="B46" s="301" t="s">
        <v>380</v>
      </c>
      <c r="C46" s="538" t="s">
        <v>577</v>
      </c>
      <c r="D46" s="510">
        <v>4.8611111111111112E-2</v>
      </c>
      <c r="E46" s="509">
        <v>0.56597222222222221</v>
      </c>
      <c r="F46" s="261" t="s">
        <v>587</v>
      </c>
      <c r="H46" s="270"/>
    </row>
    <row r="47" spans="1:9" s="261" customFormat="1" ht="24.95" customHeight="1">
      <c r="A47" s="434">
        <v>13</v>
      </c>
      <c r="B47" s="522" t="str">
        <f>B19</f>
        <v>Northern Brewer   7,1%</v>
      </c>
      <c r="C47" s="396">
        <f>F47*D4</f>
        <v>23.099999999999998</v>
      </c>
      <c r="D47" s="511">
        <v>4.1666666666666664E-2</v>
      </c>
      <c r="E47" s="508">
        <f>IF(E46=0," ",E50-D47)</f>
        <v>0.57291666666666674</v>
      </c>
      <c r="F47" s="503">
        <v>0.7</v>
      </c>
      <c r="H47" s="270"/>
    </row>
    <row r="48" spans="1:9" s="261" customFormat="1" ht="24.95" customHeight="1">
      <c r="A48" s="434">
        <v>14</v>
      </c>
      <c r="B48" s="522" t="str">
        <f>B19</f>
        <v>Northern Brewer   7,1%</v>
      </c>
      <c r="C48" s="397">
        <f>F48*D4</f>
        <v>13.200000000000001</v>
      </c>
      <c r="D48" s="512">
        <v>1.3888888888888888E-2</v>
      </c>
      <c r="E48" s="477">
        <f>IF(E46=0," ",E50-D48)</f>
        <v>0.60069444444444453</v>
      </c>
      <c r="F48" s="505">
        <v>0.4</v>
      </c>
      <c r="H48" s="270"/>
    </row>
    <row r="49" spans="1:8" s="261" customFormat="1" ht="24.95" customHeight="1">
      <c r="A49" s="434">
        <v>15</v>
      </c>
      <c r="B49" s="522" t="str">
        <f>B19</f>
        <v>Northern Brewer   7,1%</v>
      </c>
      <c r="C49" s="398">
        <f>F49*D4</f>
        <v>13.200000000000001</v>
      </c>
      <c r="D49" s="513">
        <v>6.9444444444444447E-4</v>
      </c>
      <c r="E49" s="440">
        <f>IF(E46=0," ",E50-D49)</f>
        <v>0.61388888888888893</v>
      </c>
      <c r="F49" s="502">
        <v>0.4</v>
      </c>
      <c r="H49" s="270"/>
    </row>
    <row r="50" spans="1:8" s="261" customFormat="1" ht="24.95" customHeight="1">
      <c r="A50" s="434">
        <v>16</v>
      </c>
      <c r="B50" s="319" t="s">
        <v>340</v>
      </c>
      <c r="D50" s="538" t="s">
        <v>497</v>
      </c>
      <c r="E50" s="419">
        <f>IF(E46=0," ",E46+D46)</f>
        <v>0.61458333333333337</v>
      </c>
      <c r="F50" s="322"/>
    </row>
    <row r="51" spans="1:8" s="261" customFormat="1" ht="24.95" customHeight="1">
      <c r="A51" s="434"/>
      <c r="C51" s="408"/>
      <c r="D51" s="409"/>
      <c r="E51" s="305"/>
      <c r="H51" s="270"/>
    </row>
    <row r="52" spans="1:8" s="261" customFormat="1" ht="24.95" customHeight="1">
      <c r="A52" s="434">
        <v>17</v>
      </c>
      <c r="B52" s="441" t="s">
        <v>622</v>
      </c>
      <c r="C52" s="424">
        <v>0.61805555555555558</v>
      </c>
      <c r="D52" s="424">
        <v>0.68055555555555547</v>
      </c>
      <c r="E52" s="478">
        <f>IF(C52=0," ",(D52-C52))</f>
        <v>6.2499999999999889E-2</v>
      </c>
      <c r="F52" s="305"/>
    </row>
    <row r="53" spans="1:8" s="261" customFormat="1" ht="24.95" customHeight="1">
      <c r="A53" s="434">
        <v>18</v>
      </c>
      <c r="B53" s="566" t="s">
        <v>651</v>
      </c>
      <c r="C53" s="314"/>
      <c r="D53" s="314"/>
      <c r="E53" s="457">
        <v>24.5</v>
      </c>
    </row>
    <row r="54" spans="1:8" s="261" customFormat="1" ht="24.95" customHeight="1">
      <c r="A54" s="434">
        <v>19</v>
      </c>
      <c r="B54" s="565" t="s">
        <v>624</v>
      </c>
      <c r="C54" s="566"/>
      <c r="D54" s="566"/>
      <c r="E54" s="417">
        <v>14.5</v>
      </c>
      <c r="F54" s="305"/>
    </row>
    <row r="55" spans="1:8" s="261" customFormat="1" ht="24.95" customHeight="1">
      <c r="A55" s="434">
        <v>20</v>
      </c>
      <c r="B55" s="261" t="s">
        <v>324</v>
      </c>
    </row>
    <row r="56" spans="1:8" s="261" customFormat="1" ht="24.95" customHeight="1">
      <c r="A56" s="434">
        <v>21</v>
      </c>
      <c r="B56" s="261" t="s">
        <v>23</v>
      </c>
      <c r="D56" s="538" t="s">
        <v>623</v>
      </c>
      <c r="E56" s="449">
        <v>0.68055555555555547</v>
      </c>
    </row>
    <row r="57" spans="1:8" s="261" customFormat="1" ht="24.95" customHeight="1">
      <c r="A57" s="434"/>
      <c r="B57" s="336"/>
      <c r="D57" s="538"/>
      <c r="E57" s="539"/>
    </row>
    <row r="58" spans="1:8" s="261" customFormat="1" ht="24.95" customHeight="1">
      <c r="A58" s="434"/>
      <c r="B58" s="336" t="s">
        <v>679</v>
      </c>
      <c r="D58" s="410">
        <v>7</v>
      </c>
      <c r="E58" s="405">
        <f>D58*E53</f>
        <v>171.5</v>
      </c>
    </row>
    <row r="59" spans="1:8" s="261" customFormat="1" ht="24.95" customHeight="1">
      <c r="A59" s="434">
        <v>22</v>
      </c>
      <c r="B59" s="261" t="s">
        <v>673</v>
      </c>
      <c r="F59" s="305"/>
    </row>
    <row r="60" spans="1:8" s="317" customFormat="1" ht="24.95" customHeight="1">
      <c r="A60" s="434">
        <v>23</v>
      </c>
      <c r="B60" s="709" t="s">
        <v>660</v>
      </c>
      <c r="C60" s="709"/>
      <c r="D60" s="710"/>
      <c r="E60" s="417"/>
      <c r="F60" s="324"/>
    </row>
    <row r="61" spans="1:8" s="317" customFormat="1" ht="24.95" customHeight="1">
      <c r="A61" s="434">
        <v>24</v>
      </c>
      <c r="B61" s="565" t="s">
        <v>598</v>
      </c>
      <c r="D61" s="538" t="s">
        <v>515</v>
      </c>
      <c r="E61" s="448"/>
      <c r="F61" s="324"/>
    </row>
    <row r="62" spans="1:8" s="261" customFormat="1" ht="24.95" customHeight="1">
      <c r="A62" s="243">
        <v>25</v>
      </c>
      <c r="B62" s="261" t="s">
        <v>652</v>
      </c>
      <c r="E62" s="305"/>
      <c r="H62" s="270"/>
    </row>
    <row r="63" spans="1:8" s="261" customFormat="1" ht="24.95" customHeight="1">
      <c r="A63" s="243"/>
      <c r="E63" s="305"/>
      <c r="H63" s="270"/>
    </row>
    <row r="64" spans="1:8" s="261" customFormat="1" ht="24.95" customHeight="1">
      <c r="A64" s="243"/>
      <c r="E64" s="305"/>
      <c r="H64" s="270"/>
    </row>
    <row r="65" spans="1:8" s="298" customFormat="1" ht="24.95" customHeight="1">
      <c r="A65" s="337"/>
      <c r="B65" s="480" t="s">
        <v>555</v>
      </c>
      <c r="D65" s="488"/>
      <c r="E65" s="481">
        <f>IF(E56=0," ",E56-E31)</f>
        <v>0.24305555555555547</v>
      </c>
    </row>
    <row r="66" spans="1:8" s="298" customFormat="1" ht="24.95" customHeight="1">
      <c r="A66" s="337"/>
      <c r="B66" s="354" t="s">
        <v>562</v>
      </c>
      <c r="D66" s="488"/>
      <c r="E66" s="489"/>
    </row>
    <row r="67" spans="1:8" s="298" customFormat="1" ht="24.95" customHeight="1">
      <c r="A67" s="337"/>
      <c r="B67" s="354" t="s">
        <v>556</v>
      </c>
      <c r="E67" s="482">
        <f>E52</f>
        <v>6.2499999999999889E-2</v>
      </c>
    </row>
    <row r="68" spans="1:8" s="298" customFormat="1" ht="24.95" customHeight="1">
      <c r="A68" s="337"/>
      <c r="B68" s="357" t="s">
        <v>557</v>
      </c>
      <c r="E68" s="506"/>
    </row>
    <row r="69" spans="1:8" s="325" customFormat="1" ht="24.95" customHeight="1">
      <c r="B69" s="334"/>
      <c r="D69" s="335"/>
      <c r="E69" s="461"/>
    </row>
    <row r="70" spans="1:8" s="261" customFormat="1" ht="24.95" customHeight="1">
      <c r="A70" s="243"/>
      <c r="B70" s="336" t="s">
        <v>548</v>
      </c>
      <c r="C70" s="305"/>
      <c r="D70" s="305"/>
      <c r="E70" s="305"/>
    </row>
    <row r="71" spans="1:8" s="298" customFormat="1" ht="24.95" customHeight="1">
      <c r="A71" s="337"/>
      <c r="B71" s="338" t="s">
        <v>413</v>
      </c>
      <c r="C71" s="339"/>
      <c r="D71" s="339"/>
      <c r="E71" s="458">
        <f>IF(E54=0," ",((E54-E60)*0.52))</f>
        <v>7.54</v>
      </c>
      <c r="H71" s="297"/>
    </row>
    <row r="72" spans="1:8" s="298" customFormat="1" ht="24.95" customHeight="1">
      <c r="A72" s="337"/>
      <c r="B72" s="342" t="s">
        <v>223</v>
      </c>
      <c r="C72" s="339"/>
      <c r="D72" s="339"/>
      <c r="E72" s="459">
        <f>IF(E54=0," ",E54)</f>
        <v>14.5</v>
      </c>
      <c r="H72" s="297"/>
    </row>
    <row r="73" spans="1:8" s="298" customFormat="1" ht="24.95" customHeight="1">
      <c r="A73" s="337"/>
      <c r="B73" s="344" t="s">
        <v>219</v>
      </c>
      <c r="C73" s="567"/>
      <c r="D73" s="567"/>
      <c r="E73" s="392">
        <v>20</v>
      </c>
    </row>
    <row r="74" spans="1:8" s="298" customFormat="1" ht="24.95" customHeight="1">
      <c r="A74" s="337"/>
      <c r="B74" s="344" t="s">
        <v>218</v>
      </c>
      <c r="C74" s="347"/>
      <c r="E74" s="453">
        <v>3.7</v>
      </c>
    </row>
    <row r="75" spans="1:8" s="298" customFormat="1" ht="24.95" customHeight="1">
      <c r="A75" s="337"/>
      <c r="B75" s="349" t="s">
        <v>224</v>
      </c>
      <c r="C75" s="567"/>
      <c r="D75" s="567"/>
      <c r="E75" s="454">
        <f>IF(E54=0," ",(E54/(258.6-((E54/258.2)*227.1)))+1)</f>
        <v>1.0589798884865946</v>
      </c>
    </row>
    <row r="76" spans="1:8" s="298" customFormat="1" ht="24.95" customHeight="1">
      <c r="A76" s="337"/>
      <c r="B76" s="351" t="s">
        <v>225</v>
      </c>
      <c r="C76" s="567"/>
      <c r="D76" s="567"/>
      <c r="E76" s="455" t="str">
        <f>IF(E60=0," ",((E60/(258.6-((E60/258.2)*227.1))) + 1))</f>
        <v/>
      </c>
    </row>
    <row r="77" spans="1:8" s="261" customFormat="1" ht="24.95" customHeight="1">
      <c r="A77" s="243"/>
      <c r="B77" s="317"/>
      <c r="E77" s="305"/>
      <c r="F77"/>
      <c r="H77" s="270"/>
    </row>
    <row r="78" spans="1:8" s="298" customFormat="1" ht="24.95" customHeight="1">
      <c r="A78" s="337"/>
      <c r="B78" s="374" t="s">
        <v>154</v>
      </c>
      <c r="E78" s="353">
        <f>((E79*E80)/E81)/100</f>
        <v>0.71050000000000002</v>
      </c>
      <c r="H78" s="297"/>
    </row>
    <row r="79" spans="1:8" s="298" customFormat="1" ht="24.95" customHeight="1">
      <c r="A79" s="337"/>
      <c r="B79" s="354" t="s">
        <v>510</v>
      </c>
      <c r="E79" s="355">
        <f>E53</f>
        <v>24.5</v>
      </c>
      <c r="H79" s="297"/>
    </row>
    <row r="80" spans="1:8" s="298" customFormat="1" ht="24.95" customHeight="1">
      <c r="A80" s="337"/>
      <c r="B80" s="354" t="s">
        <v>361</v>
      </c>
      <c r="E80" s="356">
        <f>E54</f>
        <v>14.5</v>
      </c>
      <c r="H80" s="297"/>
    </row>
    <row r="81" spans="1:15" s="298" customFormat="1" ht="24.95" customHeight="1">
      <c r="A81" s="337"/>
      <c r="B81" s="357" t="s">
        <v>153</v>
      </c>
      <c r="E81" s="415">
        <f>C4</f>
        <v>5</v>
      </c>
      <c r="H81" s="297"/>
    </row>
    <row r="82" spans="1:15" s="298" customFormat="1" ht="24.95" customHeight="1">
      <c r="A82" s="337"/>
      <c r="E82" s="507"/>
    </row>
    <row r="83" spans="1:15" s="325" customFormat="1" ht="24.95" customHeight="1">
      <c r="B83" s="326" t="s">
        <v>71</v>
      </c>
      <c r="E83" s="461"/>
    </row>
    <row r="84" spans="1:15" s="325" customFormat="1" ht="24.95" customHeight="1">
      <c r="B84" s="327" t="s">
        <v>416</v>
      </c>
      <c r="E84" s="456">
        <v>21</v>
      </c>
    </row>
    <row r="85" spans="1:15" s="325" customFormat="1" ht="24.95" customHeight="1">
      <c r="B85" s="328" t="s">
        <v>366</v>
      </c>
      <c r="E85" s="457">
        <v>25</v>
      </c>
    </row>
    <row r="86" spans="1:15" s="325" customFormat="1" ht="24.95" customHeight="1">
      <c r="B86" s="328" t="s">
        <v>75</v>
      </c>
      <c r="E86" s="331">
        <v>6</v>
      </c>
      <c r="F86" s="474" t="s">
        <v>566</v>
      </c>
    </row>
    <row r="87" spans="1:15" s="325" customFormat="1" ht="24.95" customHeight="1">
      <c r="B87" s="328" t="s">
        <v>414</v>
      </c>
      <c r="E87" s="331">
        <f>IF(E84=0," ",(1*E84*10*80%))</f>
        <v>168</v>
      </c>
      <c r="F87" s="325" t="s">
        <v>567</v>
      </c>
    </row>
    <row r="88" spans="1:15" s="325" customFormat="1" ht="24.95" customHeight="1">
      <c r="B88" s="332" t="s">
        <v>415</v>
      </c>
      <c r="E88" s="333">
        <f>IF(E85=0," ",E85*E86/E87)</f>
        <v>0.8928571428571429</v>
      </c>
      <c r="F88" s="325" t="s">
        <v>568</v>
      </c>
    </row>
    <row r="89" spans="1:15" s="298" customFormat="1" ht="24.95" customHeight="1">
      <c r="A89" s="337"/>
      <c r="E89" s="347"/>
    </row>
    <row r="90" spans="1:15" ht="24.95" customHeight="1">
      <c r="B90" s="577"/>
      <c r="C90" s="577"/>
      <c r="D90" s="578"/>
      <c r="E90" s="579"/>
      <c r="F90" s="580"/>
      <c r="G90" s="581"/>
      <c r="J90" s="582"/>
      <c r="K90" s="583"/>
      <c r="L90" s="584"/>
      <c r="M90" s="585"/>
      <c r="N90" s="586"/>
      <c r="O90" s="585"/>
    </row>
    <row r="91" spans="1:15" ht="24.95" customHeight="1">
      <c r="B91" s="577"/>
      <c r="C91" s="577"/>
      <c r="D91" s="578"/>
      <c r="E91" s="578"/>
      <c r="F91" s="580"/>
      <c r="G91" s="581"/>
      <c r="J91" s="582"/>
      <c r="K91" s="583"/>
      <c r="L91" s="584"/>
      <c r="M91" s="585"/>
      <c r="N91" s="586"/>
      <c r="O91" s="585"/>
    </row>
    <row r="92" spans="1:15" ht="24.95" customHeight="1">
      <c r="B92" s="577"/>
      <c r="C92" s="577"/>
      <c r="D92" s="578"/>
      <c r="E92" s="578"/>
      <c r="F92" s="580"/>
      <c r="G92" s="581"/>
      <c r="J92" s="582"/>
      <c r="K92" s="583"/>
      <c r="L92" s="584"/>
      <c r="M92" s="585"/>
      <c r="N92" s="586"/>
      <c r="O92" s="585"/>
    </row>
    <row r="93" spans="1:15" ht="24.95" customHeight="1" thickBot="1">
      <c r="B93" s="577"/>
      <c r="C93" s="577"/>
      <c r="D93" s="587"/>
      <c r="E93" s="588"/>
      <c r="F93" s="589"/>
      <c r="G93" s="589"/>
      <c r="J93" s="582"/>
      <c r="K93" s="583"/>
      <c r="L93" s="584"/>
      <c r="M93" s="585"/>
      <c r="N93" s="586"/>
      <c r="O93" s="585"/>
    </row>
    <row r="94" spans="1:15" s="642" customFormat="1" ht="24.95" customHeight="1" thickBot="1">
      <c r="B94" s="643"/>
      <c r="C94" s="643"/>
      <c r="D94" s="641" t="s">
        <v>722</v>
      </c>
      <c r="E94" s="644">
        <f>E54</f>
        <v>14.5</v>
      </c>
      <c r="F94" s="645"/>
      <c r="J94" s="646"/>
      <c r="K94" s="646"/>
      <c r="L94" s="646"/>
      <c r="M94" s="647"/>
      <c r="N94" s="648"/>
      <c r="O94" s="649"/>
    </row>
    <row r="95" spans="1:15" s="667" customFormat="1" ht="54.95" customHeight="1">
      <c r="B95" s="664" t="s">
        <v>740</v>
      </c>
      <c r="C95" s="661" t="s">
        <v>738</v>
      </c>
      <c r="D95" s="596" t="s">
        <v>739</v>
      </c>
      <c r="E95" s="658" t="s">
        <v>725</v>
      </c>
      <c r="F95" s="659" t="s">
        <v>726</v>
      </c>
      <c r="J95" s="651"/>
      <c r="K95" s="652"/>
      <c r="L95" s="653"/>
      <c r="M95" s="653"/>
      <c r="N95" s="647"/>
      <c r="O95" s="649"/>
    </row>
    <row r="96" spans="1:15" s="650" customFormat="1" ht="20.100000000000001" customHeight="1">
      <c r="B96" s="663">
        <v>1</v>
      </c>
      <c r="C96" s="662"/>
      <c r="D96" s="639">
        <v>15</v>
      </c>
      <c r="E96" s="660">
        <f t="shared" ref="E96:E106" si="1">IF(C96&gt;0,(1.001843-0.002318474*(E$94)-0.000007775*(E$94^2)-0.000000034*(E$94^3)+0.00574*($C96)+0.00003344*($C96^2)+0.000000086*($C96^3))+(1.313454-0.132674*(D96*1.8+32)+0.002057793*((D96*1.8+32)^2)-0.000002627634*((D96*1.8+32)^3))*0.001,0)</f>
        <v>0</v>
      </c>
      <c r="F96" s="665">
        <f t="shared" ref="F96:F106" si="2">IF(C96&gt;0,-676.67+1286.4*E96-800.47*(E96^2)+190.74*(E96^3),0)</f>
        <v>0</v>
      </c>
      <c r="J96" s="654"/>
      <c r="K96" s="652"/>
      <c r="L96" s="655"/>
      <c r="M96" s="656"/>
      <c r="N96" s="657"/>
      <c r="O96" s="656"/>
    </row>
    <row r="97" spans="2:7" s="650" customFormat="1" ht="20.100000000000001" customHeight="1">
      <c r="B97" s="663">
        <v>2</v>
      </c>
      <c r="C97" s="662"/>
      <c r="D97" s="639">
        <v>15</v>
      </c>
      <c r="E97" s="660">
        <f t="shared" si="1"/>
        <v>0</v>
      </c>
      <c r="F97" s="666">
        <f t="shared" si="2"/>
        <v>0</v>
      </c>
    </row>
    <row r="98" spans="2:7" s="650" customFormat="1" ht="20.100000000000001" customHeight="1">
      <c r="B98" s="663">
        <v>3</v>
      </c>
      <c r="C98" s="662">
        <v>8</v>
      </c>
      <c r="D98" s="639">
        <v>15</v>
      </c>
      <c r="E98" s="660">
        <f t="shared" si="1"/>
        <v>1.0147001765897139</v>
      </c>
      <c r="F98" s="666">
        <f t="shared" si="2"/>
        <v>3.7392236879491634</v>
      </c>
    </row>
    <row r="99" spans="2:7" s="650" customFormat="1" ht="20.100000000000001" customHeight="1">
      <c r="B99" s="663">
        <v>4</v>
      </c>
      <c r="C99" s="662"/>
      <c r="D99" s="639">
        <v>15</v>
      </c>
      <c r="E99" s="660">
        <f t="shared" si="1"/>
        <v>0</v>
      </c>
      <c r="F99" s="666">
        <f t="shared" si="2"/>
        <v>0</v>
      </c>
    </row>
    <row r="100" spans="2:7" s="650" customFormat="1" ht="20.100000000000001" customHeight="1">
      <c r="B100" s="663">
        <v>5</v>
      </c>
      <c r="C100" s="662"/>
      <c r="D100" s="639">
        <v>15</v>
      </c>
      <c r="E100" s="660">
        <f t="shared" si="1"/>
        <v>0</v>
      </c>
      <c r="F100" s="666">
        <f t="shared" si="2"/>
        <v>0</v>
      </c>
    </row>
    <row r="101" spans="2:7" s="650" customFormat="1" ht="20.100000000000001" customHeight="1">
      <c r="B101" s="663">
        <v>6</v>
      </c>
      <c r="C101" s="662">
        <v>6.8</v>
      </c>
      <c r="D101" s="639">
        <v>15</v>
      </c>
      <c r="E101" s="660">
        <f t="shared" si="1"/>
        <v>1.0072012913417141</v>
      </c>
      <c r="F101" s="666">
        <f t="shared" si="2"/>
        <v>1.8438632598071081</v>
      </c>
    </row>
    <row r="102" spans="2:7" s="650" customFormat="1" ht="20.100000000000001" customHeight="1">
      <c r="B102" s="663">
        <v>7</v>
      </c>
      <c r="C102" s="662"/>
      <c r="D102" s="639">
        <v>15</v>
      </c>
      <c r="E102" s="660">
        <f t="shared" si="1"/>
        <v>0</v>
      </c>
      <c r="F102" s="666">
        <f t="shared" si="2"/>
        <v>0</v>
      </c>
    </row>
    <row r="103" spans="2:7" s="650" customFormat="1" ht="20.100000000000001" customHeight="1">
      <c r="B103" s="663">
        <v>8</v>
      </c>
      <c r="C103" s="662"/>
      <c r="D103" s="639">
        <v>15</v>
      </c>
      <c r="E103" s="660">
        <f t="shared" si="1"/>
        <v>0</v>
      </c>
      <c r="F103" s="666">
        <f t="shared" si="2"/>
        <v>0</v>
      </c>
    </row>
    <row r="104" spans="2:7" s="650" customFormat="1" ht="20.100000000000001" customHeight="1">
      <c r="B104" s="663">
        <v>9</v>
      </c>
      <c r="C104" s="662"/>
      <c r="D104" s="639">
        <v>15</v>
      </c>
      <c r="E104" s="660">
        <f t="shared" si="1"/>
        <v>0</v>
      </c>
      <c r="F104" s="666">
        <f t="shared" si="2"/>
        <v>0</v>
      </c>
    </row>
    <row r="105" spans="2:7" s="650" customFormat="1" ht="20.100000000000001" customHeight="1">
      <c r="B105" s="663">
        <v>10</v>
      </c>
      <c r="C105" s="662"/>
      <c r="D105" s="639">
        <v>15</v>
      </c>
      <c r="E105" s="660">
        <f t="shared" si="1"/>
        <v>0</v>
      </c>
      <c r="F105" s="666">
        <f t="shared" si="2"/>
        <v>0</v>
      </c>
    </row>
    <row r="106" spans="2:7" s="650" customFormat="1" ht="20.100000000000001" customHeight="1">
      <c r="B106" s="663">
        <v>11</v>
      </c>
      <c r="C106" s="662"/>
      <c r="D106" s="639">
        <v>15</v>
      </c>
      <c r="E106" s="660">
        <f t="shared" si="1"/>
        <v>0</v>
      </c>
      <c r="F106" s="666">
        <f t="shared" si="2"/>
        <v>0</v>
      </c>
    </row>
    <row r="107" spans="2:7" ht="20.100000000000001" customHeight="1">
      <c r="B107" s="625"/>
      <c r="C107" s="580"/>
      <c r="D107" s="626"/>
      <c r="E107" s="627"/>
      <c r="G107" s="580"/>
    </row>
    <row r="108" spans="2:7" ht="20.100000000000001" customHeight="1">
      <c r="B108" s="629"/>
      <c r="C108" s="628" t="s">
        <v>734</v>
      </c>
      <c r="D108" s="626"/>
      <c r="E108" s="627"/>
      <c r="G108" s="580"/>
    </row>
    <row r="109" spans="2:7" ht="20.100000000000001" customHeight="1">
      <c r="B109" s="629"/>
      <c r="C109" s="630" t="s">
        <v>735</v>
      </c>
      <c r="D109" s="626"/>
      <c r="E109" s="627"/>
      <c r="G109" s="580"/>
    </row>
    <row r="110" spans="2:7" ht="20.100000000000001" customHeight="1">
      <c r="B110" s="628"/>
      <c r="C110" s="630" t="s">
        <v>736</v>
      </c>
      <c r="D110" s="626"/>
      <c r="E110" s="627"/>
      <c r="G110" s="580"/>
    </row>
    <row r="111" spans="2:7" ht="20.100000000000001" customHeight="1">
      <c r="B111" s="625"/>
      <c r="C111" s="630" t="s">
        <v>737</v>
      </c>
      <c r="D111" s="626"/>
      <c r="E111" s="627"/>
      <c r="G111" s="580"/>
    </row>
    <row r="112" spans="2:7" ht="20.100000000000001" customHeight="1"/>
    <row r="113" spans="2:7" ht="20.100000000000001" customHeight="1">
      <c r="D113" s="631"/>
    </row>
    <row r="114" spans="2:7" ht="20.100000000000001" customHeight="1"/>
    <row r="115" spans="2:7" ht="20.100000000000001" customHeight="1">
      <c r="D115" s="632"/>
    </row>
    <row r="116" spans="2:7" ht="20.100000000000001" customHeight="1"/>
    <row r="117" spans="2:7" ht="20.100000000000001" customHeight="1">
      <c r="D117" s="633"/>
    </row>
    <row r="118" spans="2:7" s="626" customFormat="1" ht="20.100000000000001" customHeight="1">
      <c r="B118" s="624"/>
      <c r="C118" s="625"/>
      <c r="D118" s="580"/>
      <c r="F118" s="627"/>
      <c r="G118" s="627"/>
    </row>
    <row r="119" spans="2:7" s="626" customFormat="1" ht="20.100000000000001" customHeight="1">
      <c r="B119" s="624"/>
      <c r="C119" s="625"/>
      <c r="D119" s="633"/>
      <c r="F119" s="627"/>
      <c r="G119" s="627"/>
    </row>
    <row r="120" spans="2:7" s="626" customFormat="1" ht="20.100000000000001" customHeight="1">
      <c r="B120" s="624"/>
      <c r="C120" s="625"/>
      <c r="D120" s="580"/>
      <c r="F120" s="627"/>
      <c r="G120" s="627"/>
    </row>
    <row r="121" spans="2:7" s="626" customFormat="1" ht="20.100000000000001" customHeight="1">
      <c r="B121" s="624"/>
      <c r="C121" s="625"/>
      <c r="D121" s="633"/>
      <c r="F121" s="627"/>
      <c r="G121" s="627"/>
    </row>
    <row r="122" spans="2:7" s="626" customFormat="1" ht="20.100000000000001" customHeight="1">
      <c r="B122" s="624"/>
      <c r="C122" s="625"/>
      <c r="D122" s="580"/>
      <c r="F122" s="627"/>
      <c r="G122" s="627"/>
    </row>
    <row r="123" spans="2:7" s="626" customFormat="1" ht="20.100000000000001" customHeight="1">
      <c r="B123" s="624"/>
      <c r="C123" s="625"/>
      <c r="D123" s="580"/>
      <c r="F123" s="627"/>
      <c r="G123" s="627"/>
    </row>
    <row r="124" spans="2:7" s="626" customFormat="1" ht="20.100000000000001" customHeight="1">
      <c r="B124" s="624"/>
      <c r="C124" s="625"/>
      <c r="D124" s="580"/>
      <c r="F124" s="627"/>
      <c r="G124" s="627"/>
    </row>
    <row r="125" spans="2:7" s="626" customFormat="1" ht="20.100000000000001" customHeight="1">
      <c r="B125" s="624"/>
      <c r="C125" s="625"/>
      <c r="D125" s="580"/>
      <c r="F125" s="627"/>
      <c r="G125" s="627"/>
    </row>
    <row r="126" spans="2:7" s="626" customFormat="1" ht="20.100000000000001" customHeight="1">
      <c r="B126" s="624"/>
      <c r="C126" s="625"/>
      <c r="D126" s="580"/>
      <c r="F126" s="627"/>
      <c r="G126" s="627"/>
    </row>
    <row r="127" spans="2:7" s="626" customFormat="1" ht="20.100000000000001" customHeight="1">
      <c r="B127" s="624"/>
      <c r="C127" s="625"/>
      <c r="D127" s="580"/>
      <c r="F127" s="627"/>
      <c r="G127" s="627"/>
    </row>
    <row r="128" spans="2:7" s="626" customFormat="1" ht="20.100000000000001" customHeight="1">
      <c r="B128" s="624"/>
      <c r="C128" s="625"/>
      <c r="D128" s="580"/>
      <c r="F128" s="627"/>
      <c r="G128" s="627"/>
    </row>
    <row r="129" spans="2:7" s="626" customFormat="1" ht="20.100000000000001" customHeight="1">
      <c r="B129" s="624"/>
      <c r="C129" s="625"/>
      <c r="D129" s="580"/>
      <c r="F129" s="627"/>
      <c r="G129" s="627"/>
    </row>
    <row r="130" spans="2:7" s="626" customFormat="1" ht="20.100000000000001" customHeight="1">
      <c r="B130" s="624"/>
      <c r="C130" s="625"/>
      <c r="D130" s="580"/>
      <c r="F130" s="627"/>
      <c r="G130" s="627"/>
    </row>
    <row r="131" spans="2:7" s="626" customFormat="1" ht="20.100000000000001" customHeight="1">
      <c r="B131" s="624"/>
      <c r="C131" s="625"/>
      <c r="D131" s="580"/>
      <c r="F131" s="627"/>
      <c r="G131" s="627"/>
    </row>
    <row r="132" spans="2:7" s="626" customFormat="1" ht="20.100000000000001" customHeight="1">
      <c r="B132" s="624"/>
      <c r="C132" s="625"/>
      <c r="D132" s="580"/>
      <c r="F132" s="627"/>
      <c r="G132" s="627"/>
    </row>
    <row r="133" spans="2:7" s="626" customFormat="1" ht="20.100000000000001" customHeight="1">
      <c r="B133" s="624"/>
      <c r="C133" s="625"/>
      <c r="D133" s="580"/>
      <c r="F133" s="627"/>
      <c r="G133" s="627"/>
    </row>
    <row r="134" spans="2:7" ht="20.100000000000001" customHeight="1"/>
    <row r="135" spans="2:7" ht="20.100000000000001" customHeight="1"/>
    <row r="136" spans="2:7" ht="20.100000000000001" customHeight="1"/>
    <row r="137" spans="2:7" ht="20.100000000000001" customHeight="1"/>
    <row r="138" spans="2:7" ht="20.100000000000001" customHeight="1"/>
    <row r="139" spans="2:7" ht="20.100000000000001" customHeight="1"/>
    <row r="140" spans="2:7" ht="20.100000000000001" customHeight="1"/>
    <row r="141" spans="2:7" ht="20.100000000000001" customHeight="1"/>
    <row r="142" spans="2:7" ht="20.100000000000001" customHeight="1"/>
    <row r="143" spans="2:7" ht="20.100000000000001" customHeight="1"/>
    <row r="144" spans="2:7"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mergeCells count="1">
    <mergeCell ref="B60:D60"/>
  </mergeCells>
  <conditionalFormatting sqref="E60">
    <cfRule type="expression" dxfId="8" priority="3">
      <formula>#REF!=0</formula>
    </cfRule>
  </conditionalFormatting>
  <conditionalFormatting sqref="E67">
    <cfRule type="expression" dxfId="7" priority="2">
      <formula>#REF!=0</formula>
    </cfRule>
  </conditionalFormatting>
  <conditionalFormatting sqref="E68 E82">
    <cfRule type="expression" dxfId="6" priority="1">
      <formula>#REF!=0</formula>
    </cfRule>
  </conditionalFormatting>
  <hyperlinks>
    <hyperlink ref="B74" r:id="rId1"/>
    <hyperlink ref="B73" r:id="rId2"/>
    <hyperlink ref="B23" r:id="rId3" display="Капачки"/>
    <hyperlink ref="B24" r:id="rId4"/>
    <hyperlink ref="B49" r:id="rId5" display="Жатец       10      (ароматен; чешки; алфа 3,4%)"/>
    <hyperlink ref="B11" r:id="rId6"/>
    <hyperlink ref="B12" r:id="rId7"/>
    <hyperlink ref="B13" r:id="rId8" display="Weyermann Carabelge Malt (Карабелдж малц"/>
    <hyperlink ref="B14" r:id="rId9" display="CARAFA® Special Type 1"/>
    <hyperlink ref="B15" r:id="rId10" display="CARAFA® Special Type 3 "/>
    <hyperlink ref="B48" r:id="rId11" display="Жатец       10      (ароматен; чешки; алфа 3,4%)"/>
    <hyperlink ref="B19" r:id="rId12"/>
    <hyperlink ref="B22" r:id="rId13" display="Safbrew WB-06    ПО-ЕВТИНО Е, СТИГА ЕКСПЕРИМЕНТИ"/>
    <hyperlink ref="B34" r:id="rId14" display="Размесване на  38°С - Протеаза на 55°С"/>
    <hyperlink ref="B2" r:id="rId15" display="Stout"/>
    <hyperlink ref="I19" r:id="rId16" location="p3088"/>
  </hyperlinks>
  <printOptions horizontalCentered="1" verticalCentered="1"/>
  <pageMargins left="0.4597222222222222" right="0" top="0.36666666666666664" bottom="0" header="0" footer="0.51180555555555551"/>
  <pageSetup scale="85" firstPageNumber="0" orientation="landscape" horizontalDpi="300" verticalDpi="300" r:id="rId17"/>
  <headerFooter alignWithMargins="0">
    <oddHeader>&amp;C&amp;"Arial,Bold"&amp;12Таблица на ферментацията с корекции на показанията на рефрактомера</oddHeader>
  </headerFooter>
  <legacyDrawing r:id="rId18"/>
</worksheet>
</file>

<file path=xl/worksheets/sheet15.xml><?xml version="1.0" encoding="utf-8"?>
<worksheet xmlns="http://schemas.openxmlformats.org/spreadsheetml/2006/main" xmlns:r="http://schemas.openxmlformats.org/officeDocument/2006/relationships">
  <dimension ref="A2:D4"/>
  <sheetViews>
    <sheetView workbookViewId="0">
      <selection activeCell="B11" sqref="B11"/>
    </sheetView>
  </sheetViews>
  <sheetFormatPr defaultRowHeight="33" customHeight="1"/>
  <cols>
    <col min="1" max="1" width="30" style="573" customWidth="1"/>
    <col min="2" max="2" width="74.140625" style="574" customWidth="1"/>
    <col min="3" max="4" width="20.28515625" style="575" customWidth="1"/>
    <col min="5" max="16384" width="9.140625" style="572"/>
  </cols>
  <sheetData>
    <row r="2" spans="1:2" ht="33" customHeight="1">
      <c r="A2" s="570" t="s">
        <v>681</v>
      </c>
      <c r="B2" s="571" t="s">
        <v>680</v>
      </c>
    </row>
    <row r="3" spans="1:2" ht="33" customHeight="1">
      <c r="A3" s="573" t="s">
        <v>682</v>
      </c>
      <c r="B3" s="571" t="s">
        <v>683</v>
      </c>
    </row>
    <row r="4" spans="1:2" ht="33" customHeight="1">
      <c r="A4" s="573" t="s">
        <v>684</v>
      </c>
      <c r="B4" s="571" t="s">
        <v>685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O169"/>
  <sheetViews>
    <sheetView tabSelected="1" topLeftCell="A72" workbookViewId="0">
      <selection activeCell="B77" sqref="B77"/>
    </sheetView>
  </sheetViews>
  <sheetFormatPr defaultColWidth="8.85546875" defaultRowHeight="12.75"/>
  <cols>
    <col min="1" max="1" width="3.7109375" style="580" customWidth="1"/>
    <col min="2" max="2" width="55.7109375" style="624" customWidth="1"/>
    <col min="3" max="3" width="12.7109375" style="625" customWidth="1"/>
    <col min="4" max="4" width="12.7109375" style="580" customWidth="1"/>
    <col min="5" max="5" width="12.7109375" style="626" customWidth="1"/>
    <col min="6" max="7" width="12.7109375" style="627" customWidth="1"/>
    <col min="8" max="19" width="12.7109375" style="580" customWidth="1"/>
    <col min="20" max="16384" width="8.85546875" style="580"/>
  </cols>
  <sheetData>
    <row r="1" spans="1:11" s="244" customFormat="1" ht="24.95" customHeight="1">
      <c r="A1" s="243"/>
      <c r="B1" s="568" t="s">
        <v>713</v>
      </c>
      <c r="C1" s="245" t="s">
        <v>221</v>
      </c>
      <c r="D1" s="245" t="s">
        <v>349</v>
      </c>
      <c r="E1" s="245" t="s">
        <v>144</v>
      </c>
      <c r="H1" s="246"/>
    </row>
    <row r="2" spans="1:11" s="244" customFormat="1" ht="24.95" customHeight="1">
      <c r="A2" s="243"/>
      <c r="B2" s="265" t="s">
        <v>799</v>
      </c>
      <c r="C2" s="245"/>
      <c r="D2" s="248"/>
      <c r="E2" s="249"/>
    </row>
    <row r="3" spans="1:11" s="244" customFormat="1" ht="24.95" customHeight="1">
      <c r="A3" s="243"/>
      <c r="B3" s="250" t="s">
        <v>641</v>
      </c>
      <c r="C3" s="251" t="s">
        <v>95</v>
      </c>
      <c r="D3" s="251" t="s">
        <v>385</v>
      </c>
      <c r="E3" s="251" t="s">
        <v>387</v>
      </c>
      <c r="F3" s="251" t="s">
        <v>528</v>
      </c>
      <c r="I3" s="668"/>
      <c r="J3" s="672" t="s">
        <v>529</v>
      </c>
      <c r="K3" s="669"/>
    </row>
    <row r="4" spans="1:11" s="244" customFormat="1" ht="24.95" customHeight="1">
      <c r="A4" s="243"/>
      <c r="B4" s="250" t="s">
        <v>803</v>
      </c>
      <c r="C4" s="685">
        <v>1.4</v>
      </c>
      <c r="D4" s="407">
        <f>C4*6.6</f>
        <v>9.2399999999999984</v>
      </c>
      <c r="E4" s="407">
        <f>C4*5.4</f>
        <v>7.56</v>
      </c>
      <c r="F4" s="451">
        <f>E4*0.93*2</f>
        <v>14.0616</v>
      </c>
      <c r="I4" s="673" t="s">
        <v>530</v>
      </c>
      <c r="J4" s="671">
        <v>0.12</v>
      </c>
      <c r="K4" s="670">
        <v>30</v>
      </c>
    </row>
    <row r="5" spans="1:11" s="244" customFormat="1" ht="24.95" customHeight="1">
      <c r="A5" s="243"/>
      <c r="B5" s="250" t="s">
        <v>805</v>
      </c>
      <c r="C5" s="255"/>
      <c r="D5" s="255"/>
      <c r="E5" s="290"/>
      <c r="F5" s="255"/>
      <c r="I5" s="673" t="s">
        <v>531</v>
      </c>
      <c r="J5" s="671"/>
      <c r="K5" s="670">
        <v>45</v>
      </c>
    </row>
    <row r="6" spans="1:11" s="244" customFormat="1" ht="24.95" customHeight="1">
      <c r="A6" s="243"/>
      <c r="B6" s="250" t="s">
        <v>352</v>
      </c>
      <c r="C6" s="251" t="s">
        <v>386</v>
      </c>
      <c r="D6" s="251" t="s">
        <v>46</v>
      </c>
      <c r="E6" s="249"/>
      <c r="F6" s="251" t="s">
        <v>541</v>
      </c>
      <c r="I6" s="673" t="s">
        <v>649</v>
      </c>
      <c r="J6" s="671">
        <v>2.9000000000000001E-2</v>
      </c>
      <c r="K6" s="670">
        <v>14</v>
      </c>
    </row>
    <row r="7" spans="1:11" s="244" customFormat="1" ht="24.95" customHeight="1">
      <c r="A7" s="243"/>
      <c r="B7" s="250" t="s">
        <v>639</v>
      </c>
      <c r="C7" s="256">
        <f>SUM(F10:F28)</f>
        <v>17.3816688</v>
      </c>
      <c r="D7" s="257">
        <f>IF(F7=0," ",C7/F7)</f>
        <v>0.37786236521739131</v>
      </c>
      <c r="E7" s="249"/>
      <c r="F7" s="467">
        <v>46</v>
      </c>
      <c r="I7" s="673" t="s">
        <v>741</v>
      </c>
      <c r="J7" s="671">
        <v>7.0999999999999994E-2</v>
      </c>
      <c r="K7" s="670">
        <v>0</v>
      </c>
    </row>
    <row r="8" spans="1:11" s="244" customFormat="1" ht="24.95" customHeight="1">
      <c r="A8" s="243"/>
      <c r="B8" s="250" t="s">
        <v>640</v>
      </c>
      <c r="C8" s="245"/>
      <c r="D8" s="248"/>
      <c r="E8" s="249"/>
      <c r="I8" s="673" t="s">
        <v>532</v>
      </c>
      <c r="J8" s="671"/>
      <c r="K8" s="670">
        <v>18</v>
      </c>
    </row>
    <row r="9" spans="1:11" s="244" customFormat="1" ht="24.95" customHeight="1">
      <c r="A9" s="243"/>
      <c r="B9" s="258"/>
      <c r="C9" s="245"/>
      <c r="D9" s="248"/>
      <c r="E9" s="249"/>
      <c r="I9" s="673"/>
      <c r="J9" s="671"/>
      <c r="K9" s="670"/>
    </row>
    <row r="10" spans="1:11" s="244" customFormat="1" ht="24.95" customHeight="1">
      <c r="A10" s="243"/>
      <c r="B10" s="259" t="s">
        <v>95</v>
      </c>
      <c r="C10" s="260" t="s">
        <v>42</v>
      </c>
      <c r="D10" s="260" t="s">
        <v>354</v>
      </c>
      <c r="E10" s="260" t="s">
        <v>41</v>
      </c>
      <c r="F10" s="245" t="s">
        <v>41</v>
      </c>
      <c r="G10" s="299" t="s">
        <v>653</v>
      </c>
    </row>
    <row r="11" spans="1:11" s="261" customFormat="1" ht="24.95" customHeight="1">
      <c r="A11" s="243">
        <v>1</v>
      </c>
      <c r="B11" s="265" t="s">
        <v>434</v>
      </c>
      <c r="C11" s="402">
        <f>C4*D11</f>
        <v>0.65799999999999992</v>
      </c>
      <c r="D11" s="411">
        <v>0.47</v>
      </c>
      <c r="E11" s="501">
        <v>2.15</v>
      </c>
      <c r="F11" s="269">
        <f>C11*E11</f>
        <v>1.4146999999999998</v>
      </c>
      <c r="G11" s="261">
        <v>3</v>
      </c>
      <c r="I11" s="673"/>
      <c r="J11" s="671"/>
      <c r="K11" s="670"/>
    </row>
    <row r="12" spans="1:11" s="261" customFormat="1" ht="24.95" customHeight="1">
      <c r="A12" s="243">
        <v>2</v>
      </c>
      <c r="B12" s="265" t="s">
        <v>767</v>
      </c>
      <c r="C12" s="403">
        <f>C4*D12</f>
        <v>0.65799999999999992</v>
      </c>
      <c r="D12" s="412">
        <v>0.47</v>
      </c>
      <c r="E12" s="501">
        <v>2.4500000000000002</v>
      </c>
      <c r="F12" s="284">
        <f>C12*E12</f>
        <v>1.6120999999999999</v>
      </c>
      <c r="G12" s="261">
        <v>3</v>
      </c>
      <c r="H12" s="673"/>
      <c r="J12" s="573"/>
      <c r="K12" s="676"/>
    </row>
    <row r="13" spans="1:11" s="261" customFormat="1" ht="24.95" customHeight="1">
      <c r="A13" s="243">
        <v>5</v>
      </c>
      <c r="B13" s="265" t="s">
        <v>768</v>
      </c>
      <c r="C13" s="404">
        <f>C4*D13</f>
        <v>8.3999999999999991E-2</v>
      </c>
      <c r="D13" s="413">
        <v>0.06</v>
      </c>
      <c r="E13" s="501">
        <v>3.05</v>
      </c>
      <c r="F13" s="274">
        <f t="shared" ref="F13" si="0">C13*E13</f>
        <v>0.25619999999999998</v>
      </c>
      <c r="G13" s="551">
        <v>0.4</v>
      </c>
      <c r="H13" s="550"/>
      <c r="J13" s="573"/>
      <c r="K13" s="676"/>
    </row>
    <row r="14" spans="1:11" s="261" customFormat="1" ht="24.95" customHeight="1">
      <c r="A14" s="243"/>
      <c r="C14" s="276"/>
      <c r="D14" s="277"/>
      <c r="E14" s="501"/>
      <c r="F14" s="279"/>
      <c r="G14" s="336">
        <f>SUM(G11:G13)</f>
        <v>6.4</v>
      </c>
      <c r="H14" s="552"/>
      <c r="J14" s="573"/>
      <c r="K14" s="676"/>
    </row>
    <row r="15" spans="1:11" s="255" customFormat="1" ht="24.95" customHeight="1">
      <c r="A15" s="275"/>
      <c r="B15"/>
      <c r="C15" s="276"/>
      <c r="D15" s="277"/>
      <c r="E15" s="278"/>
      <c r="F15" s="279"/>
      <c r="J15" s="573"/>
      <c r="K15" s="676"/>
    </row>
    <row r="16" spans="1:11" s="255" customFormat="1" ht="24.95" customHeight="1">
      <c r="A16" s="275"/>
      <c r="B16" s="259" t="s">
        <v>337</v>
      </c>
      <c r="C16" s="554"/>
      <c r="D16" s="532" t="s">
        <v>216</v>
      </c>
      <c r="E16" s="281" t="s">
        <v>336</v>
      </c>
      <c r="F16" s="279"/>
      <c r="I16" s="264"/>
      <c r="J16" s="677"/>
    </row>
    <row r="17" spans="1:11" s="261" customFormat="1" ht="24.95" customHeight="1">
      <c r="A17" s="243">
        <v>6</v>
      </c>
      <c r="B17" s="265" t="s">
        <v>612</v>
      </c>
      <c r="D17" s="692">
        <f>C48</f>
        <v>3.6959999999999997</v>
      </c>
      <c r="E17" s="504">
        <v>89</v>
      </c>
      <c r="F17" s="269">
        <f>(D17/1000)*E17</f>
        <v>0.32894399999999996</v>
      </c>
      <c r="H17" s="272"/>
      <c r="I17" s="681"/>
    </row>
    <row r="18" spans="1:11" s="261" customFormat="1" ht="27" customHeight="1">
      <c r="A18" s="243">
        <v>4</v>
      </c>
      <c r="B18" s="265" t="s">
        <v>593</v>
      </c>
      <c r="C18" s="545"/>
      <c r="D18" s="502">
        <f>C49</f>
        <v>2.7719999999999994</v>
      </c>
      <c r="E18" s="363">
        <v>88</v>
      </c>
      <c r="F18" s="274">
        <f>(C18/1000)*E18</f>
        <v>0</v>
      </c>
    </row>
    <row r="19" spans="1:11" s="255" customFormat="1" ht="24.95" customHeight="1">
      <c r="A19" s="275"/>
      <c r="B19" s="261"/>
      <c r="C19" s="545"/>
      <c r="D19" s="276"/>
      <c r="E19" s="278"/>
      <c r="F19" s="279"/>
      <c r="I19"/>
      <c r="K19" s="682"/>
    </row>
    <row r="20" spans="1:11" s="255" customFormat="1" ht="24.95" customHeight="1">
      <c r="A20" s="275"/>
      <c r="B20" s="259" t="s">
        <v>355</v>
      </c>
      <c r="C20" s="280"/>
      <c r="D20" s="532"/>
      <c r="E20" s="281" t="s">
        <v>448</v>
      </c>
      <c r="F20" s="279"/>
      <c r="I20"/>
      <c r="K20" s="682"/>
    </row>
    <row r="21" spans="1:11" s="261" customFormat="1" ht="24.95" customHeight="1">
      <c r="A21" s="243">
        <v>7</v>
      </c>
      <c r="B21" s="265" t="s">
        <v>769</v>
      </c>
      <c r="C21" s="287"/>
      <c r="D21" s="431">
        <v>1</v>
      </c>
      <c r="E21" s="363">
        <v>4</v>
      </c>
      <c r="F21" s="269">
        <f>D21*E21</f>
        <v>4</v>
      </c>
      <c r="H21" s="290"/>
      <c r="I21"/>
      <c r="K21" s="682"/>
    </row>
    <row r="22" spans="1:11" s="261" customFormat="1" ht="24.95" customHeight="1">
      <c r="A22" s="243">
        <v>8</v>
      </c>
      <c r="B22" s="683" t="s">
        <v>804</v>
      </c>
      <c r="C22" s="287"/>
      <c r="D22" s="466">
        <f>C50</f>
        <v>3.6959999999999997</v>
      </c>
      <c r="E22" s="363"/>
      <c r="F22" s="284"/>
      <c r="H22" s="290"/>
      <c r="I22"/>
      <c r="K22" s="682"/>
    </row>
    <row r="23" spans="1:11" s="261" customFormat="1" ht="24.95" customHeight="1">
      <c r="A23" s="243">
        <v>9</v>
      </c>
      <c r="B23" s="265" t="s">
        <v>25</v>
      </c>
      <c r="C23" s="267"/>
      <c r="D23" s="466">
        <f>F4+2</f>
        <v>16.061599999999999</v>
      </c>
      <c r="E23" s="363">
        <v>2.8000000000000001E-2</v>
      </c>
      <c r="F23" s="284">
        <f>D23*E23</f>
        <v>0.44972479999999998</v>
      </c>
      <c r="H23" s="264"/>
      <c r="I23"/>
      <c r="K23" s="292"/>
    </row>
    <row r="24" spans="1:11" s="261" customFormat="1" ht="24.95" customHeight="1">
      <c r="A24" s="243">
        <v>10</v>
      </c>
      <c r="B24" s="265" t="s">
        <v>356</v>
      </c>
      <c r="D24" s="433">
        <f>C4</f>
        <v>1.4</v>
      </c>
      <c r="E24" s="363">
        <v>0.25</v>
      </c>
      <c r="F24" s="284">
        <f>D24*E24</f>
        <v>0.35</v>
      </c>
      <c r="I24"/>
    </row>
    <row r="25" spans="1:11" s="261" customFormat="1" ht="24.95" customHeight="1">
      <c r="A25" s="243">
        <v>11</v>
      </c>
      <c r="B25" s="673" t="s">
        <v>403</v>
      </c>
      <c r="D25" s="533">
        <v>1</v>
      </c>
      <c r="E25" s="363">
        <v>1.3</v>
      </c>
      <c r="F25" s="274">
        <f>D25*E25</f>
        <v>1.3</v>
      </c>
      <c r="I25"/>
    </row>
    <row r="26" spans="1:11" s="261" customFormat="1" ht="24.95" customHeight="1">
      <c r="A26" s="243"/>
      <c r="E26" s="268"/>
      <c r="I26"/>
    </row>
    <row r="27" spans="1:11" s="261" customFormat="1" ht="24.95" customHeight="1">
      <c r="A27" s="243">
        <v>12</v>
      </c>
      <c r="B27" s="673" t="s">
        <v>43</v>
      </c>
      <c r="E27" s="268"/>
      <c r="F27" s="294">
        <v>5.67</v>
      </c>
      <c r="I27"/>
    </row>
    <row r="28" spans="1:11" s="261" customFormat="1" ht="24.95" customHeight="1">
      <c r="A28" s="243">
        <v>13</v>
      </c>
      <c r="B28" s="490" t="s">
        <v>565</v>
      </c>
      <c r="C28" s="490"/>
      <c r="D28" s="490"/>
      <c r="E28" s="491"/>
      <c r="F28" s="296">
        <v>2</v>
      </c>
      <c r="I28"/>
    </row>
    <row r="29" spans="1:11" s="261" customFormat="1" ht="24.95" customHeight="1">
      <c r="A29" s="243"/>
      <c r="D29" s="297"/>
      <c r="E29" s="305"/>
      <c r="F29" s="297"/>
      <c r="I29"/>
    </row>
    <row r="30" spans="1:11" s="261" customFormat="1" ht="24.95" customHeight="1">
      <c r="A30" s="243"/>
      <c r="B30" s="299"/>
      <c r="C30" s="373"/>
      <c r="D30" s="297"/>
      <c r="E30" s="305"/>
      <c r="I30"/>
    </row>
    <row r="31" spans="1:11" s="261" customFormat="1" ht="24.95" customHeight="1">
      <c r="B31" s="563" t="str">
        <f>("ГРАФИК"&amp;" "&amp;B1)</f>
        <v>ГРАФИК Компромат</v>
      </c>
      <c r="C31" s="538" t="s">
        <v>441</v>
      </c>
      <c r="D31" s="448"/>
      <c r="E31" s="449"/>
      <c r="I31"/>
    </row>
    <row r="32" spans="1:11" s="261" customFormat="1" ht="24.95" customHeight="1">
      <c r="B32" s="261" t="s">
        <v>527</v>
      </c>
      <c r="C32" s="409" t="s">
        <v>99</v>
      </c>
      <c r="D32" s="409" t="s">
        <v>100</v>
      </c>
      <c r="E32" s="409" t="s">
        <v>101</v>
      </c>
      <c r="I32"/>
    </row>
    <row r="33" spans="1:9" s="261" customFormat="1" ht="24.95" customHeight="1">
      <c r="A33" s="434">
        <v>1</v>
      </c>
      <c r="B33" s="325" t="s">
        <v>543</v>
      </c>
      <c r="C33" s="407">
        <f>C4*3</f>
        <v>4.1999999999999993</v>
      </c>
      <c r="D33" s="407">
        <f>C4*5</f>
        <v>7</v>
      </c>
      <c r="E33" s="253">
        <f>SUM(C33:D33)</f>
        <v>11.2</v>
      </c>
      <c r="F33" s="270"/>
      <c r="I33"/>
    </row>
    <row r="34" spans="1:9" s="261" customFormat="1" ht="24.95" customHeight="1">
      <c r="A34" s="434">
        <v>2</v>
      </c>
      <c r="B34" s="325" t="s">
        <v>801</v>
      </c>
      <c r="F34" s="270"/>
      <c r="I34"/>
    </row>
    <row r="35" spans="1:9" s="261" customFormat="1" ht="24.95" customHeight="1">
      <c r="A35" s="434">
        <v>3</v>
      </c>
      <c r="B35" s="265" t="s">
        <v>802</v>
      </c>
      <c r="C35" s="419">
        <v>1.0416666666666666E-2</v>
      </c>
      <c r="D35" s="420"/>
      <c r="E35" s="421" t="str">
        <f>IF(D35=0," ",D35+C35)</f>
        <v/>
      </c>
      <c r="H35" s="270"/>
      <c r="I35"/>
    </row>
    <row r="36" spans="1:9" s="261" customFormat="1" ht="24.95" customHeight="1">
      <c r="A36" s="434">
        <v>4</v>
      </c>
      <c r="B36" s="261" t="s">
        <v>798</v>
      </c>
      <c r="C36" s="419">
        <v>2.7777777777777776E-2</v>
      </c>
      <c r="D36" s="420"/>
      <c r="E36" s="421" t="str">
        <f>IF(D36=0," ",D36+C36)</f>
        <v/>
      </c>
      <c r="H36" s="270"/>
      <c r="I36"/>
    </row>
    <row r="37" spans="1:9" s="261" customFormat="1" ht="24.95" customHeight="1">
      <c r="A37" s="434">
        <v>5</v>
      </c>
      <c r="B37" s="261" t="s">
        <v>674</v>
      </c>
      <c r="C37" s="419">
        <v>1.0416666666666666E-2</v>
      </c>
      <c r="D37" s="420"/>
      <c r="E37" s="421" t="str">
        <f>IF(D37=0," ",D37+C37)</f>
        <v/>
      </c>
      <c r="H37" s="270"/>
    </row>
    <row r="38" spans="1:9" s="261" customFormat="1" ht="24.95" customHeight="1">
      <c r="A38" s="434">
        <v>6</v>
      </c>
      <c r="B38" s="261" t="s">
        <v>536</v>
      </c>
      <c r="E38" s="305"/>
      <c r="H38" s="270"/>
    </row>
    <row r="39" spans="1:9" s="261" customFormat="1" ht="24.95" customHeight="1">
      <c r="A39" s="434">
        <v>7</v>
      </c>
      <c r="B39" s="261" t="s">
        <v>578</v>
      </c>
      <c r="H39" s="270"/>
    </row>
    <row r="40" spans="1:9" s="261" customFormat="1" ht="24.95" customHeight="1">
      <c r="A40" s="434"/>
      <c r="D40" s="408" t="s">
        <v>584</v>
      </c>
      <c r="E40" s="409" t="s">
        <v>585</v>
      </c>
      <c r="H40" s="270"/>
    </row>
    <row r="41" spans="1:9" s="261" customFormat="1" ht="24.95" customHeight="1">
      <c r="A41" s="434">
        <v>8</v>
      </c>
      <c r="B41" s="301" t="s">
        <v>711</v>
      </c>
      <c r="D41" s="420"/>
      <c r="E41" s="420"/>
      <c r="H41" s="270"/>
    </row>
    <row r="42" spans="1:9" s="261" customFormat="1" ht="24.95" customHeight="1">
      <c r="A42" s="434">
        <v>9</v>
      </c>
      <c r="B42" s="244" t="s">
        <v>677</v>
      </c>
      <c r="C42" s="417"/>
      <c r="D42" s="417"/>
      <c r="E42" s="417"/>
      <c r="H42" s="270"/>
    </row>
    <row r="43" spans="1:9" s="261" customFormat="1" ht="24.95" customHeight="1">
      <c r="A43" s="434">
        <v>10</v>
      </c>
      <c r="B43" s="244" t="s">
        <v>676</v>
      </c>
      <c r="C43" s="560"/>
      <c r="D43" s="561"/>
      <c r="E43" s="460"/>
      <c r="H43" s="270"/>
    </row>
    <row r="44" spans="1:9" s="261" customFormat="1" ht="24.95" customHeight="1">
      <c r="A44" s="434">
        <v>11</v>
      </c>
      <c r="B44" s="244" t="s">
        <v>678</v>
      </c>
      <c r="C44" s="560"/>
      <c r="D44" s="562"/>
      <c r="E44" s="460"/>
      <c r="H44" s="270"/>
    </row>
    <row r="45" spans="1:9" s="261" customFormat="1" ht="24.95" customHeight="1">
      <c r="A45" s="434">
        <v>12</v>
      </c>
      <c r="B45" s="674" t="s">
        <v>642</v>
      </c>
      <c r="C45" s="516"/>
      <c r="D45" s="557" t="s">
        <v>581</v>
      </c>
      <c r="E45" s="460"/>
      <c r="H45" s="270"/>
    </row>
    <row r="46" spans="1:9" s="261" customFormat="1" ht="24.95" customHeight="1">
      <c r="A46" s="434"/>
      <c r="C46" s="408"/>
      <c r="D46" s="409"/>
      <c r="E46" s="305"/>
      <c r="H46" s="270"/>
    </row>
    <row r="47" spans="1:9" s="261" customFormat="1" ht="24.95" customHeight="1">
      <c r="A47" s="434">
        <v>13</v>
      </c>
      <c r="B47" s="301" t="s">
        <v>380</v>
      </c>
      <c r="C47" s="538" t="s">
        <v>577</v>
      </c>
      <c r="D47" s="510">
        <v>4.8611111111111112E-2</v>
      </c>
      <c r="E47" s="509"/>
      <c r="F47" s="261" t="s">
        <v>587</v>
      </c>
      <c r="H47" s="270"/>
    </row>
    <row r="48" spans="1:9" s="261" customFormat="1" ht="24.95" customHeight="1">
      <c r="A48" s="434">
        <v>14</v>
      </c>
      <c r="B48" s="522" t="str">
        <f>B17</f>
        <v>MAGNUM   (горчив:  13,8%)</v>
      </c>
      <c r="C48" s="396">
        <f>F48*D4</f>
        <v>3.6959999999999997</v>
      </c>
      <c r="D48" s="511">
        <v>4.1666666666666664E-2</v>
      </c>
      <c r="E48" s="508" t="str">
        <f>IF(E47=0," ",E51-D48)</f>
        <v/>
      </c>
      <c r="F48" s="503">
        <v>0.4</v>
      </c>
      <c r="H48" s="270"/>
    </row>
    <row r="49" spans="1:8" s="261" customFormat="1" ht="24.95" customHeight="1">
      <c r="A49" s="434">
        <v>15</v>
      </c>
      <c r="B49" s="522" t="str">
        <f>B18</f>
        <v>Жатец  (ароматен: 3,17%)</v>
      </c>
      <c r="C49" s="397">
        <f>F49*D4</f>
        <v>2.7719999999999994</v>
      </c>
      <c r="D49" s="512">
        <v>6.9444444444444441E-3</v>
      </c>
      <c r="E49" s="477" t="str">
        <f>IF(E47=0," ",E51-D49)</f>
        <v/>
      </c>
      <c r="F49" s="505">
        <v>0.3</v>
      </c>
      <c r="H49" s="270"/>
    </row>
    <row r="50" spans="1:8" s="261" customFormat="1" ht="24.95" customHeight="1">
      <c r="A50" s="434">
        <v>16</v>
      </c>
      <c r="B50" s="522" t="str">
        <f>B22</f>
        <v>черен пипер + лимон</v>
      </c>
      <c r="C50" s="398">
        <f>F50*D4</f>
        <v>3.6959999999999997</v>
      </c>
      <c r="D50" s="513">
        <v>6.9444444444444441E-3</v>
      </c>
      <c r="E50" s="440" t="str">
        <f>IF(E47=0," ",E51-D50)</f>
        <v/>
      </c>
      <c r="F50" s="502">
        <v>0.4</v>
      </c>
      <c r="H50" s="270"/>
    </row>
    <row r="51" spans="1:8" s="261" customFormat="1" ht="24.95" customHeight="1">
      <c r="A51" s="434">
        <v>17</v>
      </c>
      <c r="B51" s="319" t="s">
        <v>340</v>
      </c>
      <c r="D51" s="538" t="s">
        <v>497</v>
      </c>
      <c r="E51" s="419" t="str">
        <f>IF(E47=0," ",E47+D47)</f>
        <v/>
      </c>
      <c r="F51" s="322"/>
    </row>
    <row r="52" spans="1:8" s="261" customFormat="1" ht="24.95" customHeight="1">
      <c r="A52" s="434"/>
      <c r="C52" s="408"/>
      <c r="D52" s="409"/>
      <c r="E52" s="305"/>
      <c r="H52" s="270"/>
    </row>
    <row r="53" spans="1:8" s="261" customFormat="1" ht="24.95" customHeight="1">
      <c r="A53" s="434">
        <v>18</v>
      </c>
      <c r="B53" s="691" t="s">
        <v>800</v>
      </c>
      <c r="C53" s="424"/>
      <c r="D53" s="424"/>
      <c r="E53" s="478" t="str">
        <f>IF(C53=0," ",(D53-C53))</f>
        <v/>
      </c>
      <c r="F53" s="305"/>
    </row>
    <row r="54" spans="1:8" s="261" customFormat="1" ht="24.95" customHeight="1">
      <c r="A54" s="434">
        <v>19</v>
      </c>
      <c r="B54" s="674" t="s">
        <v>651</v>
      </c>
      <c r="C54" s="314"/>
      <c r="D54" s="314"/>
      <c r="E54" s="457"/>
    </row>
    <row r="55" spans="1:8" s="261" customFormat="1" ht="24.95" customHeight="1">
      <c r="A55" s="434">
        <v>20</v>
      </c>
      <c r="B55" s="673" t="s">
        <v>624</v>
      </c>
      <c r="C55" s="674"/>
      <c r="D55" s="674"/>
      <c r="E55" s="417"/>
      <c r="F55" s="305"/>
    </row>
    <row r="56" spans="1:8" s="261" customFormat="1" ht="24.95" customHeight="1">
      <c r="A56" s="434">
        <v>21</v>
      </c>
      <c r="B56" s="261" t="str">
        <f>("Аериране, Заквасване"&amp;" "&amp;B21)</f>
        <v>Аериране, Заквасване Belle Saison</v>
      </c>
      <c r="D56" s="538" t="s">
        <v>623</v>
      </c>
      <c r="E56" s="449"/>
    </row>
    <row r="57" spans="1:8" s="261" customFormat="1" ht="24.95" customHeight="1">
      <c r="A57" s="434">
        <v>22</v>
      </c>
      <c r="B57" s="261" t="s">
        <v>806</v>
      </c>
    </row>
    <row r="58" spans="1:8" s="261" customFormat="1" ht="24.95" customHeight="1">
      <c r="A58" s="434"/>
      <c r="B58" s="336"/>
      <c r="D58" s="538"/>
      <c r="E58" s="539"/>
    </row>
    <row r="59" spans="1:8" s="261" customFormat="1" ht="24.95" customHeight="1">
      <c r="A59" s="434">
        <v>23</v>
      </c>
      <c r="B59" s="261" t="s">
        <v>673</v>
      </c>
      <c r="F59" s="305"/>
    </row>
    <row r="60" spans="1:8" s="317" customFormat="1" ht="24.95" customHeight="1">
      <c r="A60" s="434">
        <v>24</v>
      </c>
      <c r="B60" s="709" t="s">
        <v>660</v>
      </c>
      <c r="C60" s="709"/>
      <c r="D60" s="710"/>
      <c r="E60" s="417"/>
      <c r="F60" s="324"/>
    </row>
    <row r="61" spans="1:8" s="317" customFormat="1" ht="24.95" customHeight="1">
      <c r="A61" s="434">
        <v>25</v>
      </c>
      <c r="B61" s="673" t="s">
        <v>598</v>
      </c>
      <c r="D61" s="538" t="s">
        <v>515</v>
      </c>
      <c r="E61" s="448"/>
      <c r="F61" s="324"/>
    </row>
    <row r="62" spans="1:8" s="261" customFormat="1" ht="24.95" customHeight="1">
      <c r="A62" s="243"/>
      <c r="E62" s="305"/>
      <c r="H62" s="270"/>
    </row>
    <row r="63" spans="1:8" s="261" customFormat="1" ht="24.95" customHeight="1">
      <c r="A63" s="243"/>
      <c r="E63" s="305"/>
      <c r="H63" s="270"/>
    </row>
    <row r="64" spans="1:8" s="298" customFormat="1" ht="24.95" customHeight="1">
      <c r="A64" s="337"/>
      <c r="B64" s="480" t="s">
        <v>555</v>
      </c>
      <c r="D64" s="488"/>
      <c r="E64" s="481" t="str">
        <f>IF(E57=0," ",E57-E31)</f>
        <v/>
      </c>
    </row>
    <row r="65" spans="1:8" s="298" customFormat="1" ht="24.95" customHeight="1">
      <c r="A65" s="337"/>
      <c r="B65" s="354" t="s">
        <v>562</v>
      </c>
      <c r="D65" s="488"/>
      <c r="E65" s="489"/>
    </row>
    <row r="66" spans="1:8" s="298" customFormat="1" ht="24.95" customHeight="1">
      <c r="A66" s="337"/>
      <c r="B66" s="354" t="s">
        <v>556</v>
      </c>
      <c r="E66" s="482" t="str">
        <f>E53</f>
        <v/>
      </c>
    </row>
    <row r="67" spans="1:8" s="298" customFormat="1" ht="24.95" customHeight="1">
      <c r="A67" s="337"/>
      <c r="B67" s="357" t="s">
        <v>557</v>
      </c>
      <c r="E67" s="506"/>
    </row>
    <row r="68" spans="1:8" s="325" customFormat="1" ht="24.95" customHeight="1">
      <c r="B68" s="334"/>
      <c r="D68" s="335"/>
      <c r="E68" s="461"/>
    </row>
    <row r="69" spans="1:8" s="261" customFormat="1" ht="24.95" customHeight="1">
      <c r="A69" s="243"/>
      <c r="B69" s="336" t="s">
        <v>548</v>
      </c>
      <c r="C69" s="305"/>
      <c r="D69" s="305"/>
      <c r="E69" s="305"/>
    </row>
    <row r="70" spans="1:8" s="298" customFormat="1" ht="24.95" customHeight="1">
      <c r="A70" s="337"/>
      <c r="B70" s="338" t="s">
        <v>413</v>
      </c>
      <c r="C70" s="339"/>
      <c r="D70" s="339"/>
      <c r="E70" s="458" t="str">
        <f>IF(E55=0," ",((E55-E60)*0.52))</f>
        <v/>
      </c>
      <c r="H70" s="297"/>
    </row>
    <row r="71" spans="1:8" s="298" customFormat="1" ht="24.95" customHeight="1">
      <c r="A71" s="337"/>
      <c r="B71" s="342" t="s">
        <v>223</v>
      </c>
      <c r="C71" s="339"/>
      <c r="D71" s="339"/>
      <c r="E71" s="459" t="str">
        <f>IF(E55=0," ",E55)</f>
        <v/>
      </c>
      <c r="H71" s="297"/>
    </row>
    <row r="72" spans="1:8" s="298" customFormat="1" ht="24.95" customHeight="1">
      <c r="A72" s="337"/>
      <c r="B72" s="344" t="s">
        <v>219</v>
      </c>
      <c r="C72" s="675"/>
      <c r="D72" s="675"/>
      <c r="E72" s="392">
        <v>20</v>
      </c>
    </row>
    <row r="73" spans="1:8" s="298" customFormat="1" ht="24.95" customHeight="1">
      <c r="A73" s="337"/>
      <c r="B73" s="344" t="s">
        <v>218</v>
      </c>
      <c r="C73" s="347"/>
      <c r="E73" s="453">
        <v>3.7</v>
      </c>
    </row>
    <row r="74" spans="1:8" s="298" customFormat="1" ht="24.95" customHeight="1">
      <c r="A74" s="337"/>
      <c r="B74" s="349" t="s">
        <v>224</v>
      </c>
      <c r="C74" s="675"/>
      <c r="D74" s="675"/>
      <c r="E74" s="454" t="str">
        <f>IF(E55=0," ",(E55/(258.6-((E55/258.2)*227.1)))+1)</f>
        <v/>
      </c>
    </row>
    <row r="75" spans="1:8" s="298" customFormat="1" ht="24.95" customHeight="1">
      <c r="A75" s="337"/>
      <c r="B75" s="351" t="s">
        <v>225</v>
      </c>
      <c r="C75" s="675"/>
      <c r="D75" s="675"/>
      <c r="E75" s="455" t="str">
        <f>IF(E60=0," ",((E60/(258.6-((E60/258.2)*227.1))) + 1))</f>
        <v/>
      </c>
    </row>
    <row r="76" spans="1:8" s="261" customFormat="1" ht="24.95" customHeight="1">
      <c r="A76" s="243"/>
      <c r="B76" s="317"/>
      <c r="E76" s="305"/>
      <c r="F76"/>
      <c r="H76" s="270"/>
    </row>
    <row r="77" spans="1:8" s="298" customFormat="1" ht="24.95" customHeight="1">
      <c r="A77" s="337"/>
      <c r="B77" s="374" t="s">
        <v>154</v>
      </c>
      <c r="E77" s="353">
        <f>((E78*E79)/E80)/100</f>
        <v>0</v>
      </c>
      <c r="H77" s="297"/>
    </row>
    <row r="78" spans="1:8" s="298" customFormat="1" ht="24.95" customHeight="1">
      <c r="A78" s="337"/>
      <c r="B78" s="354" t="s">
        <v>510</v>
      </c>
      <c r="E78" s="355">
        <f>E54</f>
        <v>0</v>
      </c>
      <c r="H78" s="297"/>
    </row>
    <row r="79" spans="1:8" s="298" customFormat="1" ht="24.95" customHeight="1">
      <c r="A79" s="337"/>
      <c r="B79" s="354" t="s">
        <v>361</v>
      </c>
      <c r="E79" s="356">
        <f>E55</f>
        <v>0</v>
      </c>
      <c r="H79" s="297"/>
    </row>
    <row r="80" spans="1:8" s="298" customFormat="1" ht="24.95" customHeight="1">
      <c r="A80" s="337"/>
      <c r="B80" s="357" t="s">
        <v>153</v>
      </c>
      <c r="E80" s="415">
        <f>C4</f>
        <v>1.4</v>
      </c>
      <c r="H80" s="297"/>
    </row>
    <row r="81" spans="1:15" s="298" customFormat="1" ht="24.95" customHeight="1">
      <c r="A81" s="337"/>
      <c r="E81" s="507"/>
    </row>
    <row r="82" spans="1:15" s="325" customFormat="1" ht="24.95" customHeight="1">
      <c r="B82" s="326" t="s">
        <v>71</v>
      </c>
      <c r="E82" s="461"/>
    </row>
    <row r="83" spans="1:15" s="325" customFormat="1" ht="24.95" customHeight="1">
      <c r="B83" s="327" t="s">
        <v>416</v>
      </c>
      <c r="E83" s="456">
        <v>21</v>
      </c>
    </row>
    <row r="84" spans="1:15" s="325" customFormat="1" ht="24.95" customHeight="1">
      <c r="B84" s="328" t="s">
        <v>366</v>
      </c>
      <c r="E84" s="457">
        <v>25</v>
      </c>
    </row>
    <row r="85" spans="1:15" s="325" customFormat="1" ht="24.95" customHeight="1">
      <c r="B85" s="328" t="s">
        <v>75</v>
      </c>
      <c r="E85" s="331">
        <v>6</v>
      </c>
      <c r="F85" s="474" t="s">
        <v>566</v>
      </c>
    </row>
    <row r="86" spans="1:15" s="325" customFormat="1" ht="24.95" customHeight="1">
      <c r="B86" s="328" t="s">
        <v>414</v>
      </c>
      <c r="E86" s="331">
        <f>IF(E83=0," ",(1*E83*10*80%))</f>
        <v>168</v>
      </c>
      <c r="F86" s="325" t="s">
        <v>567</v>
      </c>
    </row>
    <row r="87" spans="1:15" s="325" customFormat="1" ht="24.95" customHeight="1">
      <c r="B87" s="332" t="s">
        <v>415</v>
      </c>
      <c r="E87" s="333">
        <f>IF(E84=0," ",E84*E85/E86)</f>
        <v>0.8928571428571429</v>
      </c>
      <c r="F87" s="325" t="s">
        <v>568</v>
      </c>
    </row>
    <row r="88" spans="1:15" s="298" customFormat="1" ht="24.95" customHeight="1">
      <c r="A88" s="337"/>
      <c r="E88" s="347"/>
    </row>
    <row r="89" spans="1:15" ht="24.95" customHeight="1">
      <c r="B89" s="577"/>
      <c r="C89" s="577"/>
      <c r="D89" s="578"/>
      <c r="E89" s="579"/>
      <c r="F89" s="580"/>
      <c r="G89" s="581"/>
      <c r="J89" s="582"/>
      <c r="K89" s="583"/>
      <c r="L89" s="584"/>
      <c r="M89" s="585"/>
      <c r="N89" s="586"/>
      <c r="O89" s="585"/>
    </row>
    <row r="90" spans="1:15" ht="24.95" customHeight="1">
      <c r="B90" s="577"/>
      <c r="C90" s="577"/>
      <c r="D90" s="578"/>
      <c r="E90" s="578"/>
      <c r="F90" s="580"/>
      <c r="G90" s="581"/>
      <c r="J90" s="582"/>
      <c r="K90" s="583"/>
      <c r="L90" s="584"/>
      <c r="M90" s="585"/>
      <c r="N90" s="586"/>
      <c r="O90" s="585"/>
    </row>
    <row r="91" spans="1:15" ht="24.95" customHeight="1">
      <c r="B91" s="577"/>
      <c r="C91" s="577"/>
      <c r="D91" s="578"/>
      <c r="E91" s="578"/>
      <c r="F91" s="580"/>
      <c r="G91" s="581"/>
      <c r="J91" s="582"/>
      <c r="K91" s="583"/>
      <c r="L91" s="584"/>
      <c r="M91" s="585"/>
      <c r="N91" s="586"/>
      <c r="O91" s="585"/>
    </row>
    <row r="92" spans="1:15" ht="24.95" customHeight="1" thickBot="1">
      <c r="B92" s="577"/>
      <c r="C92" s="577"/>
      <c r="D92" s="587"/>
      <c r="E92" s="588"/>
      <c r="F92" s="589"/>
      <c r="G92" s="589"/>
      <c r="J92" s="582"/>
      <c r="K92" s="583"/>
      <c r="L92" s="584"/>
      <c r="M92" s="585"/>
      <c r="N92" s="586"/>
      <c r="O92" s="585"/>
    </row>
    <row r="93" spans="1:15" s="642" customFormat="1" ht="24.95" customHeight="1" thickBot="1">
      <c r="B93" s="643"/>
      <c r="C93" s="643"/>
      <c r="D93" s="641" t="s">
        <v>722</v>
      </c>
      <c r="E93" s="644">
        <f>E55</f>
        <v>0</v>
      </c>
      <c r="F93" s="645"/>
      <c r="J93" s="646"/>
      <c r="K93" s="646"/>
      <c r="L93" s="646"/>
      <c r="M93" s="647"/>
      <c r="N93" s="648"/>
      <c r="O93" s="649"/>
    </row>
    <row r="94" spans="1:15" s="667" customFormat="1" ht="54.95" customHeight="1">
      <c r="B94" s="664" t="s">
        <v>740</v>
      </c>
      <c r="C94" s="661" t="s">
        <v>738</v>
      </c>
      <c r="D94" s="596" t="s">
        <v>739</v>
      </c>
      <c r="E94" s="658" t="s">
        <v>725</v>
      </c>
      <c r="F94" s="659" t="s">
        <v>726</v>
      </c>
      <c r="J94" s="651"/>
      <c r="K94" s="652"/>
      <c r="L94" s="653"/>
      <c r="M94" s="653"/>
      <c r="N94" s="647"/>
      <c r="O94" s="649"/>
    </row>
    <row r="95" spans="1:15" s="650" customFormat="1" ht="20.100000000000001" customHeight="1">
      <c r="B95" s="663">
        <v>1</v>
      </c>
      <c r="C95" s="662"/>
      <c r="D95" s="639">
        <v>15</v>
      </c>
      <c r="E95" s="660">
        <f t="shared" ref="E95:E105" si="1">IF(C95&gt;0,(1.001843-0.002318474*(E$93)-0.000007775*(E$93^2)-0.000000034*(E$93^3)+0.00574*($C95)+0.00003344*($C95^2)+0.000000086*($C95^3))+(1.313454-0.132674*(D95*1.8+32)+0.002057793*((D95*1.8+32)^2)-0.000002627634*((D95*1.8+32)^3))*0.001,0)</f>
        <v>0</v>
      </c>
      <c r="F95" s="665">
        <f t="shared" ref="F95:F105" si="2">IF(C95&gt;0,-676.67+1286.4*E95-800.47*(E95^2)+190.74*(E95^3),0)</f>
        <v>0</v>
      </c>
      <c r="J95" s="654"/>
      <c r="K95" s="652"/>
      <c r="L95" s="655"/>
      <c r="M95" s="656"/>
      <c r="N95" s="657"/>
      <c r="O95" s="656"/>
    </row>
    <row r="96" spans="1:15" s="650" customFormat="1" ht="20.100000000000001" customHeight="1">
      <c r="B96" s="663">
        <v>2</v>
      </c>
      <c r="C96" s="662"/>
      <c r="D96" s="639">
        <v>15</v>
      </c>
      <c r="E96" s="660">
        <f t="shared" si="1"/>
        <v>0</v>
      </c>
      <c r="F96" s="666">
        <f t="shared" si="2"/>
        <v>0</v>
      </c>
    </row>
    <row r="97" spans="2:7" s="650" customFormat="1" ht="20.100000000000001" customHeight="1">
      <c r="B97" s="663">
        <v>3</v>
      </c>
      <c r="C97" s="662">
        <v>8</v>
      </c>
      <c r="D97" s="639">
        <v>15</v>
      </c>
      <c r="E97" s="660">
        <f t="shared" si="1"/>
        <v>1.0500563965897138</v>
      </c>
      <c r="F97" s="666">
        <f t="shared" si="2"/>
        <v>12.350542564286144</v>
      </c>
    </row>
    <row r="98" spans="2:7" s="650" customFormat="1" ht="20.100000000000001" customHeight="1">
      <c r="B98" s="663">
        <v>4</v>
      </c>
      <c r="C98" s="662"/>
      <c r="D98" s="639">
        <v>15</v>
      </c>
      <c r="E98" s="660">
        <f t="shared" si="1"/>
        <v>0</v>
      </c>
      <c r="F98" s="666">
        <f t="shared" si="2"/>
        <v>0</v>
      </c>
    </row>
    <row r="99" spans="2:7" s="650" customFormat="1" ht="20.100000000000001" customHeight="1">
      <c r="B99" s="663">
        <v>5</v>
      </c>
      <c r="C99" s="662"/>
      <c r="D99" s="639">
        <v>15</v>
      </c>
      <c r="E99" s="660">
        <f t="shared" si="1"/>
        <v>0</v>
      </c>
      <c r="F99" s="666">
        <f t="shared" si="2"/>
        <v>0</v>
      </c>
    </row>
    <row r="100" spans="2:7" s="650" customFormat="1" ht="20.100000000000001" customHeight="1">
      <c r="B100" s="663">
        <v>6</v>
      </c>
      <c r="C100" s="662">
        <v>6.8</v>
      </c>
      <c r="D100" s="639">
        <v>15</v>
      </c>
      <c r="E100" s="660">
        <f t="shared" si="1"/>
        <v>1.042557511341714</v>
      </c>
      <c r="F100" s="666">
        <f t="shared" si="2"/>
        <v>10.567528211085715</v>
      </c>
    </row>
    <row r="101" spans="2:7" s="650" customFormat="1" ht="20.100000000000001" customHeight="1">
      <c r="B101" s="663">
        <v>7</v>
      </c>
      <c r="C101" s="662"/>
      <c r="D101" s="639">
        <v>15</v>
      </c>
      <c r="E101" s="660">
        <f t="shared" si="1"/>
        <v>0</v>
      </c>
      <c r="F101" s="666">
        <f t="shared" si="2"/>
        <v>0</v>
      </c>
    </row>
    <row r="102" spans="2:7" s="650" customFormat="1" ht="20.100000000000001" customHeight="1">
      <c r="B102" s="663">
        <v>8</v>
      </c>
      <c r="C102" s="662"/>
      <c r="D102" s="639">
        <v>15</v>
      </c>
      <c r="E102" s="660">
        <f t="shared" si="1"/>
        <v>0</v>
      </c>
      <c r="F102" s="666">
        <f t="shared" si="2"/>
        <v>0</v>
      </c>
    </row>
    <row r="103" spans="2:7" s="650" customFormat="1" ht="20.100000000000001" customHeight="1">
      <c r="B103" s="663">
        <v>9</v>
      </c>
      <c r="C103" s="662"/>
      <c r="D103" s="639">
        <v>15</v>
      </c>
      <c r="E103" s="660">
        <f t="shared" si="1"/>
        <v>0</v>
      </c>
      <c r="F103" s="666">
        <f t="shared" si="2"/>
        <v>0</v>
      </c>
    </row>
    <row r="104" spans="2:7" s="650" customFormat="1" ht="20.100000000000001" customHeight="1">
      <c r="B104" s="663">
        <v>10</v>
      </c>
      <c r="C104" s="662"/>
      <c r="D104" s="639">
        <v>15</v>
      </c>
      <c r="E104" s="660">
        <f t="shared" si="1"/>
        <v>0</v>
      </c>
      <c r="F104" s="666">
        <f t="shared" si="2"/>
        <v>0</v>
      </c>
    </row>
    <row r="105" spans="2:7" s="650" customFormat="1" ht="20.100000000000001" customHeight="1">
      <c r="B105" s="663">
        <v>11</v>
      </c>
      <c r="C105" s="662"/>
      <c r="D105" s="639">
        <v>15</v>
      </c>
      <c r="E105" s="660">
        <f t="shared" si="1"/>
        <v>0</v>
      </c>
      <c r="F105" s="666">
        <f t="shared" si="2"/>
        <v>0</v>
      </c>
    </row>
    <row r="106" spans="2:7" ht="20.100000000000001" customHeight="1">
      <c r="B106" s="625"/>
      <c r="C106" s="580"/>
      <c r="D106" s="626"/>
      <c r="E106" s="627"/>
      <c r="G106" s="580"/>
    </row>
    <row r="107" spans="2:7" ht="20.100000000000001" customHeight="1">
      <c r="B107" s="629"/>
      <c r="C107" s="628" t="s">
        <v>734</v>
      </c>
      <c r="D107" s="626"/>
      <c r="E107" s="627"/>
      <c r="G107" s="580"/>
    </row>
    <row r="108" spans="2:7" ht="20.100000000000001" customHeight="1">
      <c r="B108" s="629"/>
      <c r="C108" s="630" t="s">
        <v>735</v>
      </c>
      <c r="D108" s="626"/>
      <c r="E108" s="627"/>
      <c r="G108" s="580"/>
    </row>
    <row r="109" spans="2:7" ht="20.100000000000001" customHeight="1">
      <c r="B109" s="628"/>
      <c r="C109" s="630" t="s">
        <v>736</v>
      </c>
      <c r="D109" s="626"/>
      <c r="E109" s="627"/>
      <c r="G109" s="580"/>
    </row>
    <row r="110" spans="2:7" ht="20.100000000000001" customHeight="1">
      <c r="B110" s="625"/>
      <c r="C110" s="630" t="s">
        <v>737</v>
      </c>
      <c r="D110" s="626"/>
      <c r="E110" s="627"/>
      <c r="G110" s="580"/>
    </row>
    <row r="111" spans="2:7" ht="20.100000000000001" customHeight="1"/>
    <row r="112" spans="2:7" ht="20.100000000000001" customHeight="1">
      <c r="D112" s="631"/>
    </row>
    <row r="113" spans="2:7" ht="20.100000000000001" customHeight="1"/>
    <row r="114" spans="2:7" ht="20.100000000000001" customHeight="1">
      <c r="D114" s="632"/>
    </row>
    <row r="115" spans="2:7" ht="20.100000000000001" customHeight="1"/>
    <row r="116" spans="2:7" ht="20.100000000000001" customHeight="1">
      <c r="D116" s="633"/>
    </row>
    <row r="117" spans="2:7" s="626" customFormat="1" ht="20.100000000000001" customHeight="1">
      <c r="B117" s="624"/>
      <c r="C117" s="625"/>
      <c r="D117" s="580"/>
      <c r="F117" s="627"/>
      <c r="G117" s="627"/>
    </row>
    <row r="118" spans="2:7" s="626" customFormat="1" ht="20.100000000000001" customHeight="1">
      <c r="B118" s="624"/>
      <c r="C118" s="625"/>
      <c r="D118" s="633"/>
      <c r="F118" s="627"/>
      <c r="G118" s="627"/>
    </row>
    <row r="119" spans="2:7" s="626" customFormat="1" ht="20.100000000000001" customHeight="1">
      <c r="B119" s="624"/>
      <c r="C119" s="625"/>
      <c r="D119" s="580"/>
      <c r="F119" s="627"/>
      <c r="G119" s="627"/>
    </row>
    <row r="120" spans="2:7" s="626" customFormat="1" ht="20.100000000000001" customHeight="1">
      <c r="B120" s="624"/>
      <c r="C120" s="625"/>
      <c r="D120" s="633"/>
      <c r="F120" s="627"/>
      <c r="G120" s="627"/>
    </row>
    <row r="121" spans="2:7" s="626" customFormat="1" ht="20.100000000000001" customHeight="1">
      <c r="B121" s="624"/>
      <c r="C121" s="625"/>
      <c r="D121" s="580"/>
      <c r="F121" s="627"/>
      <c r="G121" s="627"/>
    </row>
    <row r="122" spans="2:7" s="626" customFormat="1" ht="20.100000000000001" customHeight="1">
      <c r="B122" s="624"/>
      <c r="C122" s="625"/>
      <c r="D122" s="580"/>
      <c r="F122" s="627"/>
      <c r="G122" s="627"/>
    </row>
    <row r="123" spans="2:7" s="626" customFormat="1" ht="20.100000000000001" customHeight="1">
      <c r="B123" s="624"/>
      <c r="C123" s="625"/>
      <c r="D123" s="580"/>
      <c r="F123" s="627"/>
      <c r="G123" s="627"/>
    </row>
    <row r="124" spans="2:7" s="626" customFormat="1" ht="20.100000000000001" customHeight="1">
      <c r="B124" s="624"/>
      <c r="C124" s="625"/>
      <c r="D124" s="580"/>
      <c r="F124" s="627"/>
      <c r="G124" s="627"/>
    </row>
    <row r="125" spans="2:7" s="626" customFormat="1" ht="20.100000000000001" customHeight="1">
      <c r="B125" s="624"/>
      <c r="C125" s="625"/>
      <c r="D125" s="580"/>
      <c r="F125" s="627"/>
      <c r="G125" s="627"/>
    </row>
    <row r="126" spans="2:7" s="626" customFormat="1" ht="20.100000000000001" customHeight="1">
      <c r="B126" s="624"/>
      <c r="C126" s="625"/>
      <c r="D126" s="580"/>
      <c r="F126" s="627"/>
      <c r="G126" s="627"/>
    </row>
    <row r="127" spans="2:7" s="626" customFormat="1" ht="20.100000000000001" customHeight="1">
      <c r="B127" s="624"/>
      <c r="C127" s="625"/>
      <c r="D127" s="580"/>
      <c r="F127" s="627"/>
      <c r="G127" s="627"/>
    </row>
    <row r="128" spans="2:7" s="626" customFormat="1" ht="20.100000000000001" customHeight="1">
      <c r="B128" s="624"/>
      <c r="C128" s="625"/>
      <c r="D128" s="580"/>
      <c r="F128" s="627"/>
      <c r="G128" s="627"/>
    </row>
    <row r="129" spans="2:7" s="626" customFormat="1" ht="20.100000000000001" customHeight="1">
      <c r="B129" s="624"/>
      <c r="C129" s="625"/>
      <c r="D129" s="580"/>
      <c r="F129" s="627"/>
      <c r="G129" s="627"/>
    </row>
    <row r="130" spans="2:7" s="626" customFormat="1" ht="20.100000000000001" customHeight="1">
      <c r="B130" s="624"/>
      <c r="C130" s="625"/>
      <c r="D130" s="580"/>
      <c r="F130" s="627"/>
      <c r="G130" s="627"/>
    </row>
    <row r="131" spans="2:7" s="626" customFormat="1" ht="20.100000000000001" customHeight="1">
      <c r="B131" s="624"/>
      <c r="C131" s="625"/>
      <c r="D131" s="580"/>
      <c r="F131" s="627"/>
      <c r="G131" s="627"/>
    </row>
    <row r="132" spans="2:7" s="626" customFormat="1" ht="20.100000000000001" customHeight="1">
      <c r="B132" s="624"/>
      <c r="C132" s="625"/>
      <c r="D132" s="580"/>
      <c r="F132" s="627"/>
      <c r="G132" s="627"/>
    </row>
    <row r="133" spans="2:7" ht="20.100000000000001" customHeight="1"/>
    <row r="134" spans="2:7" ht="20.100000000000001" customHeight="1"/>
    <row r="135" spans="2:7" ht="20.100000000000001" customHeight="1"/>
    <row r="136" spans="2:7" ht="20.100000000000001" customHeight="1"/>
    <row r="137" spans="2:7" ht="20.100000000000001" customHeight="1"/>
    <row r="138" spans="2:7" ht="20.100000000000001" customHeight="1"/>
    <row r="139" spans="2:7" ht="20.100000000000001" customHeight="1"/>
    <row r="140" spans="2:7" ht="20.100000000000001" customHeight="1"/>
    <row r="141" spans="2:7" ht="20.100000000000001" customHeight="1"/>
    <row r="142" spans="2:7" ht="20.100000000000001" customHeight="1"/>
    <row r="143" spans="2:7" ht="20.100000000000001" customHeight="1"/>
    <row r="144" spans="2:7"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sheetData>
  <mergeCells count="1">
    <mergeCell ref="B60:D60"/>
  </mergeCells>
  <conditionalFormatting sqref="E60">
    <cfRule type="expression" dxfId="5" priority="3">
      <formula>#REF!=0</formula>
    </cfRule>
  </conditionalFormatting>
  <conditionalFormatting sqref="E66:E67 E81">
    <cfRule type="expression" dxfId="4" priority="2">
      <formula>#REF!=0</formula>
    </cfRule>
  </conditionalFormatting>
  <hyperlinks>
    <hyperlink ref="B73" r:id="rId1"/>
    <hyperlink ref="B72" r:id="rId2"/>
    <hyperlink ref="B23" r:id="rId3" display="Капачки"/>
    <hyperlink ref="B24" r:id="rId4"/>
    <hyperlink ref="B49" r:id="rId5" display="Жатец       10      (ароматен; чешки; алфа 3,4%)"/>
    <hyperlink ref="B11" r:id="rId6"/>
    <hyperlink ref="B35" r:id="rId7" display="Размесване на  38°С - Протеаза на 55°С"/>
    <hyperlink ref="B12" r:id="rId8"/>
    <hyperlink ref="B21" r:id="rId9" display="http://beer-bg.com/index.php?main_page=product_info&amp;cPath=1_42_43&amp;products_id=118"/>
    <hyperlink ref="B2" r:id="rId10"/>
    <hyperlink ref="B53" r:id="rId11"/>
    <hyperlink ref="B17" r:id="rId12" display="MAGNUM   (горчив:  12,7%)"/>
    <hyperlink ref="B18" r:id="rId13" display="Жатец       10      (ароматен; чешки; алфа 3,4%)"/>
  </hyperlinks>
  <printOptions horizontalCentered="1"/>
  <pageMargins left="0.15748031496062992" right="0.15748031496062992" top="0.15748031496062992" bottom="0.15748031496062992" header="0" footer="0.51181102362204722"/>
  <pageSetup firstPageNumber="0" orientation="portrait" r:id="rId14"/>
  <headerFooter alignWithMargins="0"/>
  <legacyDrawing r:id="rId15"/>
</worksheet>
</file>

<file path=xl/worksheets/sheet17.xml><?xml version="1.0" encoding="utf-8"?>
<worksheet xmlns="http://schemas.openxmlformats.org/spreadsheetml/2006/main" xmlns:r="http://schemas.openxmlformats.org/officeDocument/2006/relationships">
  <dimension ref="A1:O166"/>
  <sheetViews>
    <sheetView topLeftCell="A31" workbookViewId="0">
      <selection activeCell="B52" sqref="B52"/>
    </sheetView>
  </sheetViews>
  <sheetFormatPr defaultColWidth="8.85546875" defaultRowHeight="12.75"/>
  <cols>
    <col min="1" max="1" width="3.7109375" style="580" customWidth="1"/>
    <col min="2" max="2" width="55.7109375" style="624" customWidth="1"/>
    <col min="3" max="3" width="12.7109375" style="625" customWidth="1"/>
    <col min="4" max="4" width="12.7109375" style="580" customWidth="1"/>
    <col min="5" max="5" width="12.7109375" style="626" customWidth="1"/>
    <col min="6" max="7" width="12.7109375" style="627" customWidth="1"/>
    <col min="8" max="19" width="12.7109375" style="580" customWidth="1"/>
    <col min="20" max="16384" width="8.85546875" style="580"/>
  </cols>
  <sheetData>
    <row r="1" spans="1:11" s="244" customFormat="1" ht="24.95" customHeight="1">
      <c r="A1" s="243"/>
      <c r="B1" s="686" t="s">
        <v>775</v>
      </c>
      <c r="C1" s="245" t="s">
        <v>221</v>
      </c>
      <c r="D1" s="245" t="s">
        <v>349</v>
      </c>
      <c r="E1" s="245" t="s">
        <v>144</v>
      </c>
      <c r="H1" s="246"/>
    </row>
    <row r="2" spans="1:11" s="244" customFormat="1" ht="24.95" customHeight="1">
      <c r="A2" s="243"/>
      <c r="B2" s="569"/>
      <c r="C2" s="245"/>
      <c r="D2" s="248"/>
      <c r="E2" s="249"/>
    </row>
    <row r="3" spans="1:11" s="244" customFormat="1" ht="24.95" customHeight="1">
      <c r="A3" s="243"/>
      <c r="B3" s="250" t="s">
        <v>780</v>
      </c>
      <c r="C3" s="251" t="s">
        <v>95</v>
      </c>
      <c r="D3" s="251" t="s">
        <v>385</v>
      </c>
      <c r="E3" s="251" t="s">
        <v>387</v>
      </c>
      <c r="F3" s="251" t="s">
        <v>528</v>
      </c>
      <c r="I3" s="668"/>
      <c r="J3" s="672" t="s">
        <v>529</v>
      </c>
      <c r="K3" s="669"/>
    </row>
    <row r="4" spans="1:11" s="244" customFormat="1" ht="24.95" customHeight="1">
      <c r="A4" s="243"/>
      <c r="B4" s="250" t="s">
        <v>786</v>
      </c>
      <c r="C4" s="685">
        <v>1</v>
      </c>
      <c r="D4" s="407">
        <f>C4*6.6</f>
        <v>6.6</v>
      </c>
      <c r="E4" s="407">
        <f>C4*5.4</f>
        <v>5.4</v>
      </c>
      <c r="F4" s="451">
        <f>E4*0.93*2</f>
        <v>10.044</v>
      </c>
      <c r="I4" s="678" t="s">
        <v>530</v>
      </c>
      <c r="J4" s="671">
        <v>0.12</v>
      </c>
      <c r="K4" s="670">
        <v>30</v>
      </c>
    </row>
    <row r="5" spans="1:11" s="244" customFormat="1" ht="24.95" customHeight="1">
      <c r="A5" s="243"/>
      <c r="B5" s="250" t="s">
        <v>777</v>
      </c>
      <c r="C5" s="255"/>
      <c r="D5" s="255"/>
      <c r="E5" s="290"/>
      <c r="F5" s="255"/>
      <c r="I5" s="678" t="s">
        <v>531</v>
      </c>
      <c r="J5" s="671"/>
      <c r="K5" s="670">
        <v>45</v>
      </c>
    </row>
    <row r="6" spans="1:11" s="244" customFormat="1" ht="24.95" customHeight="1">
      <c r="A6" s="243"/>
      <c r="B6" s="250" t="s">
        <v>778</v>
      </c>
      <c r="C6" s="251" t="s">
        <v>386</v>
      </c>
      <c r="D6" s="251" t="s">
        <v>46</v>
      </c>
      <c r="E6" s="249"/>
      <c r="F6" s="251" t="s">
        <v>541</v>
      </c>
      <c r="I6" s="678" t="s">
        <v>649</v>
      </c>
      <c r="J6" s="671">
        <v>2.9000000000000001E-2</v>
      </c>
      <c r="K6" s="670">
        <v>14</v>
      </c>
    </row>
    <row r="7" spans="1:11" s="244" customFormat="1" ht="24.95" customHeight="1">
      <c r="A7" s="243"/>
      <c r="B7" s="250" t="s">
        <v>776</v>
      </c>
      <c r="C7" s="256">
        <f>SUM(F10:F25)</f>
        <v>17.062192000000003</v>
      </c>
      <c r="D7" s="257" t="str">
        <f>IF(F7=0," ",C7/F7)</f>
        <v/>
      </c>
      <c r="E7" s="249"/>
      <c r="F7" s="467"/>
      <c r="I7" s="678" t="s">
        <v>741</v>
      </c>
      <c r="J7" s="671">
        <v>7.0999999999999994E-2</v>
      </c>
      <c r="K7" s="670">
        <v>0</v>
      </c>
    </row>
    <row r="8" spans="1:11" s="244" customFormat="1" ht="24.95" customHeight="1">
      <c r="A8" s="243"/>
      <c r="B8" s="250" t="s">
        <v>779</v>
      </c>
      <c r="C8" s="245"/>
      <c r="D8" s="248"/>
      <c r="E8" s="249"/>
      <c r="I8" s="678" t="s">
        <v>532</v>
      </c>
      <c r="J8" s="671"/>
      <c r="K8" s="670">
        <v>18</v>
      </c>
    </row>
    <row r="9" spans="1:11" s="244" customFormat="1" ht="24.95" customHeight="1">
      <c r="A9" s="243"/>
      <c r="B9" s="258"/>
      <c r="C9" s="245"/>
      <c r="D9" s="248"/>
      <c r="E9" s="249"/>
      <c r="I9" s="678"/>
      <c r="J9" s="671"/>
      <c r="K9" s="670"/>
    </row>
    <row r="10" spans="1:11" s="244" customFormat="1" ht="24.95" customHeight="1">
      <c r="A10" s="243"/>
      <c r="B10" s="259" t="s">
        <v>95</v>
      </c>
      <c r="C10" s="260" t="s">
        <v>42</v>
      </c>
      <c r="D10" s="260" t="s">
        <v>354</v>
      </c>
      <c r="E10" s="260" t="s">
        <v>41</v>
      </c>
      <c r="F10" s="245" t="s">
        <v>41</v>
      </c>
      <c r="G10" s="299" t="s">
        <v>653</v>
      </c>
    </row>
    <row r="11" spans="1:11" s="261" customFormat="1" ht="24.95" customHeight="1">
      <c r="A11" s="243">
        <v>1</v>
      </c>
      <c r="B11" s="684" t="s">
        <v>785</v>
      </c>
      <c r="C11" s="402">
        <f>C4*D11</f>
        <v>0.5</v>
      </c>
      <c r="D11" s="411">
        <v>0.5</v>
      </c>
      <c r="E11" s="501">
        <v>2.15</v>
      </c>
      <c r="F11" s="269">
        <f>C11*E11</f>
        <v>1.075</v>
      </c>
      <c r="I11" s="678"/>
      <c r="J11" s="671"/>
      <c r="K11" s="670"/>
    </row>
    <row r="12" spans="1:11" s="261" customFormat="1" ht="24.95" customHeight="1">
      <c r="A12" s="243">
        <v>5</v>
      </c>
      <c r="B12" s="684" t="s">
        <v>784</v>
      </c>
      <c r="C12" s="404">
        <f>C4*D12</f>
        <v>0.5</v>
      </c>
      <c r="D12" s="413">
        <v>0.5</v>
      </c>
      <c r="E12" s="501">
        <v>3</v>
      </c>
      <c r="F12" s="274">
        <f t="shared" ref="F12" si="0">C12*E12</f>
        <v>1.5</v>
      </c>
      <c r="G12" s="551"/>
      <c r="H12" s="550"/>
      <c r="J12" s="573" t="s">
        <v>748</v>
      </c>
      <c r="K12" s="676" t="s">
        <v>745</v>
      </c>
    </row>
    <row r="13" spans="1:11" s="261" customFormat="1" ht="24.95" customHeight="1">
      <c r="A13" s="243"/>
      <c r="C13" s="276"/>
      <c r="D13" s="277"/>
      <c r="E13" s="501"/>
      <c r="F13" s="279"/>
      <c r="G13" s="336">
        <f>SUM(G11:G12)</f>
        <v>0</v>
      </c>
      <c r="H13" s="552"/>
      <c r="J13" s="573" t="s">
        <v>715</v>
      </c>
      <c r="K13" s="676" t="s">
        <v>746</v>
      </c>
    </row>
    <row r="14" spans="1:11" s="255" customFormat="1" ht="24.95" customHeight="1">
      <c r="A14" s="275"/>
      <c r="B14" s="1"/>
      <c r="C14" s="276"/>
      <c r="D14" s="277"/>
      <c r="E14" s="278"/>
      <c r="F14" s="279"/>
      <c r="J14" s="573" t="s">
        <v>716</v>
      </c>
      <c r="K14" s="676" t="s">
        <v>747</v>
      </c>
    </row>
    <row r="15" spans="1:11" s="255" customFormat="1" ht="24.95" customHeight="1">
      <c r="A15" s="275"/>
      <c r="B15" s="259" t="s">
        <v>337</v>
      </c>
      <c r="C15" s="554"/>
      <c r="D15" s="532" t="s">
        <v>216</v>
      </c>
      <c r="E15" s="281" t="s">
        <v>336</v>
      </c>
      <c r="F15" s="279"/>
      <c r="I15" s="264"/>
      <c r="J15" s="677" t="s">
        <v>749</v>
      </c>
    </row>
    <row r="16" spans="1:11" s="261" customFormat="1" ht="24.95" customHeight="1">
      <c r="A16" s="243">
        <v>6</v>
      </c>
      <c r="B16" s="265" t="s">
        <v>590</v>
      </c>
      <c r="D16" s="553">
        <f>SUM(C46:C46)</f>
        <v>9.2399999999999984</v>
      </c>
      <c r="E16" s="504">
        <v>79</v>
      </c>
      <c r="F16" s="401">
        <f>(D16/1000)*E16</f>
        <v>0.72995999999999983</v>
      </c>
      <c r="H16" s="272"/>
      <c r="I16" s="152"/>
    </row>
    <row r="17" spans="1:9" s="255" customFormat="1" ht="24.95" customHeight="1">
      <c r="A17" s="275"/>
      <c r="B17" s="261"/>
      <c r="C17" s="545"/>
      <c r="D17" s="276"/>
      <c r="E17" s="278"/>
      <c r="F17" s="279"/>
      <c r="I17" s="1"/>
    </row>
    <row r="18" spans="1:9" s="255" customFormat="1" ht="24.95" customHeight="1">
      <c r="A18" s="275"/>
      <c r="B18" s="259" t="s">
        <v>355</v>
      </c>
      <c r="C18" s="280"/>
      <c r="D18" s="532"/>
      <c r="E18" s="281" t="s">
        <v>448</v>
      </c>
      <c r="F18" s="279"/>
      <c r="I18" s="1"/>
    </row>
    <row r="19" spans="1:9" s="261" customFormat="1" ht="24.95" customHeight="1">
      <c r="A19" s="243">
        <v>7</v>
      </c>
      <c r="B19" s="265" t="s">
        <v>774</v>
      </c>
      <c r="C19" s="287"/>
      <c r="D19" s="431">
        <v>1</v>
      </c>
      <c r="E19" s="363">
        <v>4.2</v>
      </c>
      <c r="F19" s="269">
        <f>D19*E19</f>
        <v>4.2</v>
      </c>
      <c r="H19" s="290"/>
      <c r="I19" s="1"/>
    </row>
    <row r="20" spans="1:9" s="261" customFormat="1" ht="24.95" customHeight="1">
      <c r="A20" s="243">
        <v>8</v>
      </c>
      <c r="B20" s="265" t="s">
        <v>25</v>
      </c>
      <c r="C20" s="267"/>
      <c r="D20" s="466">
        <f>F4+2</f>
        <v>12.044</v>
      </c>
      <c r="E20" s="363">
        <v>2.8000000000000001E-2</v>
      </c>
      <c r="F20" s="284">
        <f>D20*E20</f>
        <v>0.33723200000000003</v>
      </c>
      <c r="H20" s="264"/>
      <c r="I20" s="1"/>
    </row>
    <row r="21" spans="1:9" s="261" customFormat="1" ht="24.95" customHeight="1">
      <c r="A21" s="243">
        <v>9</v>
      </c>
      <c r="B21" s="265" t="s">
        <v>356</v>
      </c>
      <c r="D21" s="433">
        <f>C4</f>
        <v>1</v>
      </c>
      <c r="E21" s="363">
        <v>0.25</v>
      </c>
      <c r="F21" s="284">
        <f>D21*E21</f>
        <v>0.25</v>
      </c>
      <c r="I21" s="1"/>
    </row>
    <row r="22" spans="1:9" s="261" customFormat="1" ht="24.95" customHeight="1">
      <c r="A22" s="243">
        <v>10</v>
      </c>
      <c r="B22" s="678" t="s">
        <v>403</v>
      </c>
      <c r="D22" s="533">
        <v>1</v>
      </c>
      <c r="E22" s="363">
        <v>1.3</v>
      </c>
      <c r="F22" s="274">
        <f>D22*E22</f>
        <v>1.3</v>
      </c>
      <c r="I22" s="1"/>
    </row>
    <row r="23" spans="1:9" s="261" customFormat="1" ht="24.95" customHeight="1">
      <c r="A23" s="243"/>
      <c r="E23" s="268"/>
      <c r="I23" s="1"/>
    </row>
    <row r="24" spans="1:9" s="261" customFormat="1" ht="24.95" customHeight="1">
      <c r="A24" s="243">
        <v>11</v>
      </c>
      <c r="B24" s="678" t="s">
        <v>43</v>
      </c>
      <c r="E24" s="268"/>
      <c r="F24" s="294">
        <v>5.67</v>
      </c>
      <c r="I24" s="1"/>
    </row>
    <row r="25" spans="1:9" s="261" customFormat="1" ht="24.95" customHeight="1">
      <c r="A25" s="243">
        <v>12</v>
      </c>
      <c r="B25" s="490" t="s">
        <v>565</v>
      </c>
      <c r="C25" s="490"/>
      <c r="D25" s="490"/>
      <c r="E25" s="491"/>
      <c r="F25" s="296">
        <v>2</v>
      </c>
      <c r="I25" s="1"/>
    </row>
    <row r="26" spans="1:9" s="261" customFormat="1" ht="24.95" customHeight="1">
      <c r="A26" s="243"/>
      <c r="D26" s="297"/>
      <c r="E26" s="305"/>
      <c r="F26" s="297"/>
      <c r="I26" s="1"/>
    </row>
    <row r="27" spans="1:9" s="261" customFormat="1" ht="24.95" customHeight="1">
      <c r="A27" s="243"/>
      <c r="B27" s="299"/>
      <c r="C27" s="373"/>
      <c r="D27" s="297"/>
      <c r="E27" s="305"/>
      <c r="I27" s="1"/>
    </row>
    <row r="28" spans="1:9" s="261" customFormat="1" ht="24.95" customHeight="1">
      <c r="B28" s="563" t="str">
        <f>("ГРАФИК"&amp;" "&amp;B1)</f>
        <v>ГРАФИК Hefeweizen</v>
      </c>
      <c r="C28" s="538" t="s">
        <v>441</v>
      </c>
      <c r="D28" s="448"/>
      <c r="E28" s="449"/>
      <c r="I28" s="1"/>
    </row>
    <row r="29" spans="1:9" s="261" customFormat="1" ht="24.95" customHeight="1">
      <c r="B29" s="563"/>
      <c r="C29" s="538"/>
      <c r="D29" s="689"/>
      <c r="E29" s="539"/>
      <c r="I29" s="1"/>
    </row>
    <row r="30" spans="1:9" s="261" customFormat="1" ht="24.95" customHeight="1">
      <c r="B30" s="261" t="s">
        <v>527</v>
      </c>
      <c r="C30" s="687" t="s">
        <v>99</v>
      </c>
      <c r="D30" s="687" t="s">
        <v>100</v>
      </c>
      <c r="E30" s="687" t="s">
        <v>101</v>
      </c>
      <c r="I30" s="1"/>
    </row>
    <row r="31" spans="1:9" s="261" customFormat="1" ht="24.95" customHeight="1">
      <c r="A31" s="434">
        <v>1</v>
      </c>
      <c r="B31" s="325" t="s">
        <v>543</v>
      </c>
      <c r="C31" s="407">
        <f>C4*3</f>
        <v>3</v>
      </c>
      <c r="D31" s="407">
        <f>C4*5</f>
        <v>5</v>
      </c>
      <c r="E31" s="253">
        <f>SUM(C31:D31)</f>
        <v>8</v>
      </c>
      <c r="F31" s="270"/>
      <c r="I31" s="1"/>
    </row>
    <row r="32" spans="1:9" s="261" customFormat="1" ht="24.95" customHeight="1">
      <c r="A32" s="434">
        <v>2</v>
      </c>
      <c r="B32" s="265" t="s">
        <v>782</v>
      </c>
      <c r="C32" s="419">
        <v>1.0416666666666666E-2</v>
      </c>
      <c r="D32" s="420"/>
      <c r="E32" s="421" t="str">
        <f>IF(D32=0," ",D32+C32)</f>
        <v/>
      </c>
      <c r="H32" s="270"/>
      <c r="I32" s="1"/>
    </row>
    <row r="33" spans="1:9" s="261" customFormat="1" ht="24.95" customHeight="1">
      <c r="A33" s="434">
        <v>3</v>
      </c>
      <c r="B33" s="261" t="s">
        <v>783</v>
      </c>
      <c r="C33" s="419">
        <v>1.0416666666666666E-2</v>
      </c>
      <c r="D33" s="420"/>
      <c r="E33" s="421" t="str">
        <f>IF(D33=0," ",D33+C33)</f>
        <v/>
      </c>
      <c r="H33" s="270"/>
      <c r="I33" s="1"/>
    </row>
    <row r="34" spans="1:9" s="261" customFormat="1" ht="24.95" customHeight="1">
      <c r="A34" s="434">
        <v>4</v>
      </c>
      <c r="B34" s="261" t="s">
        <v>672</v>
      </c>
      <c r="C34" s="419">
        <v>2.7777777777777776E-2</v>
      </c>
      <c r="D34" s="420"/>
      <c r="E34" s="421" t="str">
        <f>IF(D34=0," ",D34+C34)</f>
        <v/>
      </c>
      <c r="H34" s="270"/>
      <c r="I34" s="1"/>
    </row>
    <row r="35" spans="1:9" s="261" customFormat="1" ht="24.95" customHeight="1">
      <c r="A35" s="434">
        <v>5</v>
      </c>
      <c r="B35" s="261" t="s">
        <v>674</v>
      </c>
      <c r="C35" s="419">
        <v>1.0416666666666666E-2</v>
      </c>
      <c r="D35" s="420"/>
      <c r="E35" s="421" t="str">
        <f>IF(D35=0," ",D35+C35)</f>
        <v/>
      </c>
      <c r="H35" s="270"/>
    </row>
    <row r="36" spans="1:9" s="261" customFormat="1" ht="24.95" customHeight="1">
      <c r="A36" s="434">
        <v>6</v>
      </c>
      <c r="B36" s="261" t="s">
        <v>536</v>
      </c>
      <c r="E36" s="305"/>
      <c r="H36" s="270"/>
    </row>
    <row r="37" spans="1:9" s="261" customFormat="1" ht="24.95" customHeight="1">
      <c r="A37" s="434">
        <v>7</v>
      </c>
      <c r="B37" s="261" t="s">
        <v>781</v>
      </c>
      <c r="H37" s="270"/>
    </row>
    <row r="38" spans="1:9" s="261" customFormat="1" ht="24.95" customHeight="1">
      <c r="A38" s="434"/>
      <c r="D38" s="688" t="s">
        <v>584</v>
      </c>
      <c r="E38" s="687" t="s">
        <v>585</v>
      </c>
      <c r="H38" s="270"/>
    </row>
    <row r="39" spans="1:9" s="261" customFormat="1" ht="24.95" customHeight="1">
      <c r="A39" s="434">
        <v>8</v>
      </c>
      <c r="B39" s="301" t="s">
        <v>711</v>
      </c>
      <c r="D39" s="420"/>
      <c r="E39" s="420"/>
      <c r="H39" s="270"/>
    </row>
    <row r="40" spans="1:9" s="261" customFormat="1" ht="24.95" customHeight="1">
      <c r="A40" s="434">
        <v>9</v>
      </c>
      <c r="B40" s="244" t="s">
        <v>677</v>
      </c>
      <c r="C40" s="417"/>
      <c r="D40" s="417"/>
      <c r="E40" s="417"/>
      <c r="H40" s="270"/>
    </row>
    <row r="41" spans="1:9" s="261" customFormat="1" ht="24.95" customHeight="1">
      <c r="A41" s="434">
        <v>10</v>
      </c>
      <c r="B41" s="244" t="s">
        <v>676</v>
      </c>
      <c r="C41" s="560"/>
      <c r="D41" s="561"/>
      <c r="E41" s="460"/>
      <c r="H41" s="270"/>
    </row>
    <row r="42" spans="1:9" s="261" customFormat="1" ht="24.95" customHeight="1">
      <c r="A42" s="434">
        <v>11</v>
      </c>
      <c r="B42" s="244" t="s">
        <v>678</v>
      </c>
      <c r="C42" s="560"/>
      <c r="D42" s="562"/>
      <c r="E42" s="460"/>
      <c r="H42" s="270"/>
    </row>
    <row r="43" spans="1:9" s="261" customFormat="1" ht="24.95" customHeight="1">
      <c r="A43" s="434">
        <v>12</v>
      </c>
      <c r="B43" s="679" t="s">
        <v>642</v>
      </c>
      <c r="C43" s="516"/>
      <c r="D43" s="557" t="s">
        <v>581</v>
      </c>
      <c r="E43" s="460"/>
      <c r="H43" s="270"/>
    </row>
    <row r="44" spans="1:9" s="261" customFormat="1" ht="24.95" customHeight="1">
      <c r="A44" s="434"/>
      <c r="C44" s="688"/>
      <c r="D44" s="687"/>
      <c r="E44" s="305"/>
      <c r="H44" s="270"/>
    </row>
    <row r="45" spans="1:9" s="261" customFormat="1" ht="24.95" customHeight="1">
      <c r="A45" s="434">
        <v>13</v>
      </c>
      <c r="B45" s="301" t="s">
        <v>380</v>
      </c>
      <c r="C45" s="538" t="s">
        <v>577</v>
      </c>
      <c r="D45" s="510">
        <v>5.5555555555555552E-2</v>
      </c>
      <c r="E45" s="509"/>
      <c r="F45" s="261" t="s">
        <v>587</v>
      </c>
      <c r="H45" s="270"/>
    </row>
    <row r="46" spans="1:9" s="261" customFormat="1" ht="24.95" customHeight="1">
      <c r="A46" s="434">
        <v>14</v>
      </c>
      <c r="B46" s="522" t="str">
        <f>B16</f>
        <v>Халертауер - Мителфрю (ароматен;  2,9%)</v>
      </c>
      <c r="C46" s="405">
        <f>F46*D4</f>
        <v>9.2399999999999984</v>
      </c>
      <c r="D46" s="419">
        <v>4.1666666666666664E-2</v>
      </c>
      <c r="E46" s="508" t="str">
        <f>IF(E45=0," ",E47-D46)</f>
        <v/>
      </c>
      <c r="F46" s="410">
        <v>1.4</v>
      </c>
      <c r="H46" s="270"/>
    </row>
    <row r="47" spans="1:9" s="261" customFormat="1" ht="24.95" customHeight="1">
      <c r="A47" s="434">
        <v>15</v>
      </c>
      <c r="B47" s="319" t="s">
        <v>340</v>
      </c>
      <c r="D47" s="538" t="s">
        <v>497</v>
      </c>
      <c r="E47" s="419" t="str">
        <f>IF(E45=0," ",E45+D45)</f>
        <v/>
      </c>
      <c r="F47" s="322"/>
    </row>
    <row r="48" spans="1:9" s="261" customFormat="1" ht="24.95" customHeight="1">
      <c r="A48" s="434"/>
      <c r="C48" s="688"/>
      <c r="D48" s="687"/>
      <c r="E48" s="305"/>
      <c r="H48" s="270"/>
    </row>
    <row r="49" spans="1:8" s="261" customFormat="1" ht="24.95" customHeight="1">
      <c r="A49" s="434">
        <v>16</v>
      </c>
      <c r="B49" s="441" t="s">
        <v>622</v>
      </c>
      <c r="C49" s="424"/>
      <c r="D49" s="424"/>
      <c r="E49" s="478" t="str">
        <f>IF(C49=0," ",(D49-C49))</f>
        <v/>
      </c>
      <c r="F49" s="305"/>
    </row>
    <row r="50" spans="1:8" s="261" customFormat="1" ht="24.95" customHeight="1">
      <c r="A50" s="434">
        <v>17</v>
      </c>
      <c r="B50" s="679" t="s">
        <v>651</v>
      </c>
      <c r="C50" s="314"/>
      <c r="D50" s="314"/>
      <c r="E50" s="457"/>
    </row>
    <row r="51" spans="1:8" s="261" customFormat="1" ht="24.95" customHeight="1">
      <c r="A51" s="434">
        <v>18</v>
      </c>
      <c r="B51" s="678" t="s">
        <v>624</v>
      </c>
      <c r="C51" s="679"/>
      <c r="D51" s="679"/>
      <c r="E51" s="417"/>
      <c r="F51" s="305"/>
    </row>
    <row r="52" spans="1:8" s="261" customFormat="1" ht="24.95" customHeight="1">
      <c r="A52" s="434">
        <v>19</v>
      </c>
      <c r="B52" s="261" t="str">
        <f>("Аериране, Заквасване"&amp;" "&amp;B19)</f>
        <v>Аериране, Заквасване Munich</v>
      </c>
      <c r="D52" s="538" t="s">
        <v>623</v>
      </c>
      <c r="E52" s="449"/>
    </row>
    <row r="53" spans="1:8" s="261" customFormat="1" ht="24.95" customHeight="1">
      <c r="A53" s="434">
        <v>20</v>
      </c>
      <c r="B53" s="261" t="s">
        <v>788</v>
      </c>
      <c r="D53" s="538"/>
      <c r="E53" s="539"/>
    </row>
    <row r="54" spans="1:8" s="261" customFormat="1" ht="24.95" customHeight="1">
      <c r="A54" s="434"/>
      <c r="B54" s="336"/>
      <c r="D54" s="538"/>
      <c r="E54" s="539"/>
    </row>
    <row r="55" spans="1:8" s="261" customFormat="1" ht="24.95" customHeight="1">
      <c r="A55" s="434">
        <v>22</v>
      </c>
      <c r="B55" s="261" t="s">
        <v>673</v>
      </c>
      <c r="F55" s="305"/>
    </row>
    <row r="56" spans="1:8" s="317" customFormat="1" ht="24.95" customHeight="1">
      <c r="A56" s="434">
        <v>23</v>
      </c>
      <c r="B56" s="709" t="s">
        <v>660</v>
      </c>
      <c r="C56" s="709"/>
      <c r="D56" s="710"/>
      <c r="E56" s="417"/>
      <c r="F56" s="324"/>
    </row>
    <row r="57" spans="1:8" s="317" customFormat="1" ht="24.95" customHeight="1">
      <c r="A57" s="434">
        <v>24</v>
      </c>
      <c r="B57" s="678" t="s">
        <v>598</v>
      </c>
      <c r="D57" s="538" t="s">
        <v>515</v>
      </c>
      <c r="E57" s="448"/>
      <c r="F57" s="324"/>
    </row>
    <row r="58" spans="1:8" s="261" customFormat="1" ht="24.95" customHeight="1">
      <c r="A58" s="243"/>
      <c r="E58" s="305"/>
      <c r="H58" s="270"/>
    </row>
    <row r="59" spans="1:8" s="261" customFormat="1" ht="24.95" customHeight="1">
      <c r="A59" s="243"/>
      <c r="E59" s="305"/>
      <c r="H59" s="270"/>
    </row>
    <row r="60" spans="1:8" s="261" customFormat="1" ht="24.95" customHeight="1">
      <c r="A60" s="243"/>
      <c r="E60" s="305"/>
      <c r="H60" s="270"/>
    </row>
    <row r="61" spans="1:8" s="298" customFormat="1" ht="24.95" customHeight="1">
      <c r="A61" s="337"/>
      <c r="B61" s="480" t="s">
        <v>555</v>
      </c>
      <c r="D61" s="488"/>
      <c r="E61" s="481" t="str">
        <f>IF(E52=0," ",E52-E28)</f>
        <v/>
      </c>
    </row>
    <row r="62" spans="1:8" s="298" customFormat="1" ht="24.95" customHeight="1">
      <c r="A62" s="337"/>
      <c r="B62" s="354" t="s">
        <v>562</v>
      </c>
      <c r="D62" s="488"/>
      <c r="E62" s="489"/>
    </row>
    <row r="63" spans="1:8" s="298" customFormat="1" ht="24.95" customHeight="1">
      <c r="A63" s="337"/>
      <c r="B63" s="354" t="s">
        <v>556</v>
      </c>
      <c r="E63" s="482" t="str">
        <f>E49</f>
        <v/>
      </c>
    </row>
    <row r="64" spans="1:8" s="298" customFormat="1" ht="24.95" customHeight="1">
      <c r="A64" s="337"/>
      <c r="B64" s="357" t="s">
        <v>557</v>
      </c>
      <c r="E64" s="506"/>
    </row>
    <row r="65" spans="1:8" s="325" customFormat="1" ht="24.95" customHeight="1">
      <c r="B65" s="334"/>
      <c r="D65" s="335"/>
      <c r="E65" s="461"/>
    </row>
    <row r="66" spans="1:8" s="261" customFormat="1" ht="24.95" customHeight="1">
      <c r="A66" s="243"/>
      <c r="B66" s="336" t="s">
        <v>548</v>
      </c>
      <c r="C66" s="305"/>
      <c r="D66" s="305"/>
      <c r="E66" s="305"/>
    </row>
    <row r="67" spans="1:8" s="298" customFormat="1" ht="24.95" customHeight="1">
      <c r="A67" s="337"/>
      <c r="B67" s="338" t="s">
        <v>413</v>
      </c>
      <c r="C67" s="339"/>
      <c r="D67" s="339"/>
      <c r="E67" s="458" t="str">
        <f>IF(E51=0," ",((E51-E56)*0.52))</f>
        <v/>
      </c>
      <c r="H67" s="297"/>
    </row>
    <row r="68" spans="1:8" s="298" customFormat="1" ht="24.95" customHeight="1">
      <c r="A68" s="337"/>
      <c r="B68" s="342" t="s">
        <v>223</v>
      </c>
      <c r="C68" s="339"/>
      <c r="D68" s="339"/>
      <c r="E68" s="459" t="str">
        <f>IF(E51=0," ",E51)</f>
        <v/>
      </c>
      <c r="H68" s="297"/>
    </row>
    <row r="69" spans="1:8" s="298" customFormat="1" ht="24.95" customHeight="1">
      <c r="A69" s="337"/>
      <c r="B69" s="344" t="s">
        <v>219</v>
      </c>
      <c r="C69" s="680"/>
      <c r="D69" s="680"/>
      <c r="E69" s="392">
        <v>20</v>
      </c>
    </row>
    <row r="70" spans="1:8" s="298" customFormat="1" ht="24.95" customHeight="1">
      <c r="A70" s="337"/>
      <c r="B70" s="344" t="s">
        <v>218</v>
      </c>
      <c r="C70" s="347"/>
      <c r="E70" s="453">
        <v>3.7</v>
      </c>
    </row>
    <row r="71" spans="1:8" s="298" customFormat="1" ht="24.95" customHeight="1">
      <c r="A71" s="337"/>
      <c r="B71" s="349" t="s">
        <v>224</v>
      </c>
      <c r="C71" s="680"/>
      <c r="D71" s="680"/>
      <c r="E71" s="454" t="str">
        <f>IF(E51=0," ",(E51/(258.6-((E51/258.2)*227.1)))+1)</f>
        <v/>
      </c>
    </row>
    <row r="72" spans="1:8" s="298" customFormat="1" ht="24.95" customHeight="1">
      <c r="A72" s="337"/>
      <c r="B72" s="351" t="s">
        <v>225</v>
      </c>
      <c r="C72" s="680"/>
      <c r="D72" s="680"/>
      <c r="E72" s="455" t="str">
        <f>IF(E56=0," ",((E56/(258.6-((E56/258.2)*227.1))) + 1))</f>
        <v/>
      </c>
    </row>
    <row r="73" spans="1:8" s="261" customFormat="1" ht="24.95" customHeight="1">
      <c r="A73" s="243"/>
      <c r="B73" s="317"/>
      <c r="E73" s="305"/>
      <c r="F73" s="1"/>
      <c r="H73" s="270"/>
    </row>
    <row r="74" spans="1:8" s="298" customFormat="1" ht="24.95" customHeight="1">
      <c r="A74" s="337"/>
      <c r="B74" s="374" t="s">
        <v>154</v>
      </c>
      <c r="E74" s="353">
        <f>((E75*E76)/E77)/100</f>
        <v>0</v>
      </c>
      <c r="H74" s="297"/>
    </row>
    <row r="75" spans="1:8" s="298" customFormat="1" ht="24.95" customHeight="1">
      <c r="A75" s="337"/>
      <c r="B75" s="354" t="s">
        <v>510</v>
      </c>
      <c r="E75" s="355">
        <f>E50</f>
        <v>0</v>
      </c>
      <c r="H75" s="297"/>
    </row>
    <row r="76" spans="1:8" s="298" customFormat="1" ht="24.95" customHeight="1">
      <c r="A76" s="337"/>
      <c r="B76" s="354" t="s">
        <v>361</v>
      </c>
      <c r="E76" s="356">
        <f>E51</f>
        <v>0</v>
      </c>
      <c r="H76" s="297"/>
    </row>
    <row r="77" spans="1:8" s="298" customFormat="1" ht="24.95" customHeight="1">
      <c r="A77" s="337"/>
      <c r="B77" s="357" t="s">
        <v>153</v>
      </c>
      <c r="E77" s="415">
        <f>C4</f>
        <v>1</v>
      </c>
      <c r="H77" s="297"/>
    </row>
    <row r="78" spans="1:8" s="298" customFormat="1" ht="24.95" customHeight="1">
      <c r="A78" s="337"/>
      <c r="E78" s="507"/>
    </row>
    <row r="79" spans="1:8" s="325" customFormat="1" ht="24.95" customHeight="1">
      <c r="B79" s="326" t="s">
        <v>71</v>
      </c>
      <c r="E79" s="461"/>
    </row>
    <row r="80" spans="1:8" s="325" customFormat="1" ht="24.95" customHeight="1">
      <c r="B80" s="327" t="s">
        <v>416</v>
      </c>
      <c r="E80" s="456">
        <v>21</v>
      </c>
    </row>
    <row r="81" spans="1:15" s="325" customFormat="1" ht="24.95" customHeight="1">
      <c r="B81" s="328" t="s">
        <v>366</v>
      </c>
      <c r="E81" s="457">
        <v>25</v>
      </c>
    </row>
    <row r="82" spans="1:15" s="325" customFormat="1" ht="24.95" customHeight="1">
      <c r="B82" s="328" t="s">
        <v>75</v>
      </c>
      <c r="E82" s="331">
        <v>6</v>
      </c>
      <c r="F82" s="474" t="s">
        <v>566</v>
      </c>
    </row>
    <row r="83" spans="1:15" s="325" customFormat="1" ht="24.95" customHeight="1">
      <c r="B83" s="328" t="s">
        <v>414</v>
      </c>
      <c r="E83" s="331">
        <f>IF(E80=0," ",(1*E80*10*80%))</f>
        <v>168</v>
      </c>
      <c r="F83" s="325" t="s">
        <v>567</v>
      </c>
    </row>
    <row r="84" spans="1:15" s="325" customFormat="1" ht="24.95" customHeight="1">
      <c r="B84" s="332" t="s">
        <v>415</v>
      </c>
      <c r="E84" s="333">
        <f>IF(E81=0," ",E81*E82/E83)</f>
        <v>0.8928571428571429</v>
      </c>
      <c r="F84" s="325" t="s">
        <v>568</v>
      </c>
    </row>
    <row r="85" spans="1:15" s="298" customFormat="1" ht="24.95" customHeight="1">
      <c r="A85" s="337"/>
      <c r="E85" s="347"/>
    </row>
    <row r="86" spans="1:15" ht="24.95" customHeight="1">
      <c r="B86" s="577"/>
      <c r="C86" s="577"/>
      <c r="D86" s="578"/>
      <c r="E86" s="579"/>
      <c r="F86" s="580"/>
      <c r="G86" s="581"/>
      <c r="J86" s="582"/>
      <c r="K86" s="583"/>
      <c r="L86" s="584"/>
      <c r="M86" s="585"/>
      <c r="N86" s="586"/>
      <c r="O86" s="585"/>
    </row>
    <row r="87" spans="1:15" ht="24.95" customHeight="1">
      <c r="B87" s="577"/>
      <c r="C87" s="577"/>
      <c r="D87" s="578"/>
      <c r="E87" s="578"/>
      <c r="F87" s="580"/>
      <c r="G87" s="581"/>
      <c r="J87" s="582"/>
      <c r="K87" s="583"/>
      <c r="L87" s="584"/>
      <c r="M87" s="585"/>
      <c r="N87" s="586"/>
      <c r="O87" s="585"/>
    </row>
    <row r="88" spans="1:15" ht="24.95" customHeight="1">
      <c r="B88" s="577"/>
      <c r="C88" s="577"/>
      <c r="D88" s="578"/>
      <c r="E88" s="578"/>
      <c r="F88" s="580"/>
      <c r="G88" s="581"/>
      <c r="J88" s="582"/>
      <c r="K88" s="583"/>
      <c r="L88" s="584"/>
      <c r="M88" s="585"/>
      <c r="N88" s="586"/>
      <c r="O88" s="585"/>
    </row>
    <row r="89" spans="1:15" ht="24.95" customHeight="1" thickBot="1">
      <c r="B89" s="577"/>
      <c r="C89" s="577"/>
      <c r="D89" s="587"/>
      <c r="E89" s="588"/>
      <c r="F89" s="589"/>
      <c r="G89" s="589"/>
      <c r="J89" s="582"/>
      <c r="K89" s="583"/>
      <c r="L89" s="584"/>
      <c r="M89" s="585"/>
      <c r="N89" s="586"/>
      <c r="O89" s="585"/>
    </row>
    <row r="90" spans="1:15" s="642" customFormat="1" ht="24.95" customHeight="1" thickBot="1">
      <c r="B90" s="643"/>
      <c r="C90" s="643"/>
      <c r="D90" s="641" t="s">
        <v>722</v>
      </c>
      <c r="E90" s="644">
        <f>E51</f>
        <v>0</v>
      </c>
      <c r="F90" s="645"/>
      <c r="J90" s="646"/>
      <c r="K90" s="646"/>
      <c r="L90" s="646"/>
      <c r="M90" s="647"/>
      <c r="N90" s="648"/>
      <c r="O90" s="649"/>
    </row>
    <row r="91" spans="1:15" s="667" customFormat="1" ht="54.95" customHeight="1">
      <c r="B91" s="664" t="s">
        <v>740</v>
      </c>
      <c r="C91" s="661" t="s">
        <v>738</v>
      </c>
      <c r="D91" s="596" t="s">
        <v>739</v>
      </c>
      <c r="E91" s="658" t="s">
        <v>725</v>
      </c>
      <c r="F91" s="659" t="s">
        <v>726</v>
      </c>
      <c r="J91" s="651"/>
      <c r="K91" s="652"/>
      <c r="L91" s="653"/>
      <c r="M91" s="653"/>
      <c r="N91" s="647"/>
      <c r="O91" s="649"/>
    </row>
    <row r="92" spans="1:15" s="650" customFormat="1" ht="20.100000000000001" customHeight="1">
      <c r="B92" s="663">
        <v>1</v>
      </c>
      <c r="C92" s="662"/>
      <c r="D92" s="639">
        <v>15</v>
      </c>
      <c r="E92" s="660">
        <f t="shared" ref="E92:E102" si="1">IF(C92&gt;0,(1.001843-0.002318474*(E$90)-0.000007775*(E$90^2)-0.000000034*(E$90^3)+0.00574*($C92)+0.00003344*($C92^2)+0.000000086*($C92^3))+(1.313454-0.132674*(D92*1.8+32)+0.002057793*((D92*1.8+32)^2)-0.000002627634*((D92*1.8+32)^3))*0.001,0)</f>
        <v>0</v>
      </c>
      <c r="F92" s="665">
        <f t="shared" ref="F92:F102" si="2">IF(C92&gt;0,-676.67+1286.4*E92-800.47*(E92^2)+190.74*(E92^3),0)</f>
        <v>0</v>
      </c>
      <c r="J92" s="654"/>
      <c r="K92" s="652"/>
      <c r="L92" s="655"/>
      <c r="M92" s="656"/>
      <c r="N92" s="657"/>
      <c r="O92" s="656"/>
    </row>
    <row r="93" spans="1:15" s="650" customFormat="1" ht="20.100000000000001" customHeight="1">
      <c r="B93" s="663">
        <v>2</v>
      </c>
      <c r="C93" s="662"/>
      <c r="D93" s="639">
        <v>15</v>
      </c>
      <c r="E93" s="660">
        <f t="shared" si="1"/>
        <v>0</v>
      </c>
      <c r="F93" s="666">
        <f t="shared" si="2"/>
        <v>0</v>
      </c>
    </row>
    <row r="94" spans="1:15" s="650" customFormat="1" ht="20.100000000000001" customHeight="1">
      <c r="B94" s="663">
        <v>3</v>
      </c>
      <c r="C94" s="662">
        <v>8</v>
      </c>
      <c r="D94" s="639">
        <v>15</v>
      </c>
      <c r="E94" s="660">
        <f t="shared" si="1"/>
        <v>1.0500563965897138</v>
      </c>
      <c r="F94" s="666">
        <f t="shared" si="2"/>
        <v>12.350542564286144</v>
      </c>
    </row>
    <row r="95" spans="1:15" s="650" customFormat="1" ht="20.100000000000001" customHeight="1">
      <c r="B95" s="663">
        <v>4</v>
      </c>
      <c r="C95" s="662"/>
      <c r="D95" s="639">
        <v>15</v>
      </c>
      <c r="E95" s="660">
        <f t="shared" si="1"/>
        <v>0</v>
      </c>
      <c r="F95" s="666">
        <f t="shared" si="2"/>
        <v>0</v>
      </c>
    </row>
    <row r="96" spans="1:15" s="650" customFormat="1" ht="20.100000000000001" customHeight="1">
      <c r="B96" s="663">
        <v>5</v>
      </c>
      <c r="C96" s="662"/>
      <c r="D96" s="639">
        <v>15</v>
      </c>
      <c r="E96" s="660">
        <f t="shared" si="1"/>
        <v>0</v>
      </c>
      <c r="F96" s="666">
        <f t="shared" si="2"/>
        <v>0</v>
      </c>
    </row>
    <row r="97" spans="2:7" s="650" customFormat="1" ht="20.100000000000001" customHeight="1">
      <c r="B97" s="663">
        <v>6</v>
      </c>
      <c r="C97" s="662">
        <v>6.8</v>
      </c>
      <c r="D97" s="639">
        <v>15</v>
      </c>
      <c r="E97" s="660">
        <f t="shared" si="1"/>
        <v>1.042557511341714</v>
      </c>
      <c r="F97" s="666">
        <f t="shared" si="2"/>
        <v>10.567528211085715</v>
      </c>
    </row>
    <row r="98" spans="2:7" s="650" customFormat="1" ht="20.100000000000001" customHeight="1">
      <c r="B98" s="663">
        <v>7</v>
      </c>
      <c r="C98" s="662"/>
      <c r="D98" s="639">
        <v>15</v>
      </c>
      <c r="E98" s="660">
        <f t="shared" si="1"/>
        <v>0</v>
      </c>
      <c r="F98" s="666">
        <f t="shared" si="2"/>
        <v>0</v>
      </c>
    </row>
    <row r="99" spans="2:7" s="650" customFormat="1" ht="20.100000000000001" customHeight="1">
      <c r="B99" s="663">
        <v>8</v>
      </c>
      <c r="C99" s="662"/>
      <c r="D99" s="639">
        <v>15</v>
      </c>
      <c r="E99" s="660">
        <f t="shared" si="1"/>
        <v>0</v>
      </c>
      <c r="F99" s="666">
        <f t="shared" si="2"/>
        <v>0</v>
      </c>
    </row>
    <row r="100" spans="2:7" s="650" customFormat="1" ht="20.100000000000001" customHeight="1">
      <c r="B100" s="663">
        <v>9</v>
      </c>
      <c r="C100" s="662"/>
      <c r="D100" s="639">
        <v>15</v>
      </c>
      <c r="E100" s="660">
        <f t="shared" si="1"/>
        <v>0</v>
      </c>
      <c r="F100" s="666">
        <f t="shared" si="2"/>
        <v>0</v>
      </c>
    </row>
    <row r="101" spans="2:7" s="650" customFormat="1" ht="20.100000000000001" customHeight="1">
      <c r="B101" s="663">
        <v>10</v>
      </c>
      <c r="C101" s="662"/>
      <c r="D101" s="639">
        <v>15</v>
      </c>
      <c r="E101" s="660">
        <f t="shared" si="1"/>
        <v>0</v>
      </c>
      <c r="F101" s="666">
        <f t="shared" si="2"/>
        <v>0</v>
      </c>
    </row>
    <row r="102" spans="2:7" s="650" customFormat="1" ht="20.100000000000001" customHeight="1">
      <c r="B102" s="663">
        <v>11</v>
      </c>
      <c r="C102" s="662"/>
      <c r="D102" s="639">
        <v>15</v>
      </c>
      <c r="E102" s="660">
        <f t="shared" si="1"/>
        <v>0</v>
      </c>
      <c r="F102" s="666">
        <f t="shared" si="2"/>
        <v>0</v>
      </c>
    </row>
    <row r="103" spans="2:7" ht="20.100000000000001" customHeight="1">
      <c r="B103" s="625"/>
      <c r="C103" s="580"/>
      <c r="D103" s="626"/>
      <c r="E103" s="627"/>
      <c r="G103" s="580"/>
    </row>
    <row r="104" spans="2:7" ht="20.100000000000001" customHeight="1">
      <c r="B104" s="629"/>
      <c r="C104" s="628" t="s">
        <v>734</v>
      </c>
      <c r="D104" s="626"/>
      <c r="E104" s="627"/>
      <c r="G104" s="580"/>
    </row>
    <row r="105" spans="2:7" ht="20.100000000000001" customHeight="1">
      <c r="B105" s="629"/>
      <c r="C105" s="630" t="s">
        <v>735</v>
      </c>
      <c r="D105" s="626"/>
      <c r="E105" s="627"/>
      <c r="G105" s="580"/>
    </row>
    <row r="106" spans="2:7" ht="20.100000000000001" customHeight="1">
      <c r="B106" s="628"/>
      <c r="C106" s="630" t="s">
        <v>736</v>
      </c>
      <c r="D106" s="626"/>
      <c r="E106" s="627"/>
      <c r="G106" s="580"/>
    </row>
    <row r="107" spans="2:7" ht="20.100000000000001" customHeight="1">
      <c r="B107" s="625"/>
      <c r="C107" s="630" t="s">
        <v>737</v>
      </c>
      <c r="D107" s="626"/>
      <c r="E107" s="627"/>
      <c r="G107" s="580"/>
    </row>
    <row r="108" spans="2:7" ht="20.100000000000001" customHeight="1"/>
    <row r="109" spans="2:7" ht="20.100000000000001" customHeight="1">
      <c r="D109" s="631"/>
    </row>
    <row r="110" spans="2:7" ht="20.100000000000001" customHeight="1"/>
    <row r="111" spans="2:7" ht="20.100000000000001" customHeight="1">
      <c r="D111" s="632"/>
    </row>
    <row r="112" spans="2:7" ht="20.100000000000001" customHeight="1"/>
    <row r="113" spans="2:7" ht="20.100000000000001" customHeight="1">
      <c r="D113" s="633"/>
    </row>
    <row r="114" spans="2:7" s="626" customFormat="1" ht="20.100000000000001" customHeight="1">
      <c r="B114" s="624"/>
      <c r="C114" s="625"/>
      <c r="D114" s="580"/>
      <c r="F114" s="627"/>
      <c r="G114" s="627"/>
    </row>
    <row r="115" spans="2:7" s="626" customFormat="1" ht="20.100000000000001" customHeight="1">
      <c r="B115" s="624"/>
      <c r="C115" s="625"/>
      <c r="D115" s="633"/>
      <c r="F115" s="627"/>
      <c r="G115" s="627"/>
    </row>
    <row r="116" spans="2:7" s="626" customFormat="1" ht="20.100000000000001" customHeight="1">
      <c r="B116" s="624"/>
      <c r="C116" s="625"/>
      <c r="D116" s="580"/>
      <c r="F116" s="627"/>
      <c r="G116" s="627"/>
    </row>
    <row r="117" spans="2:7" s="626" customFormat="1" ht="20.100000000000001" customHeight="1">
      <c r="B117" s="624"/>
      <c r="C117" s="625"/>
      <c r="D117" s="633"/>
      <c r="F117" s="627"/>
      <c r="G117" s="627"/>
    </row>
    <row r="118" spans="2:7" s="626" customFormat="1" ht="20.100000000000001" customHeight="1">
      <c r="B118" s="624"/>
      <c r="C118" s="625"/>
      <c r="D118" s="580"/>
      <c r="F118" s="627"/>
      <c r="G118" s="627"/>
    </row>
    <row r="119" spans="2:7" s="626" customFormat="1" ht="20.100000000000001" customHeight="1">
      <c r="B119" s="624"/>
      <c r="C119" s="625"/>
      <c r="D119" s="580"/>
      <c r="F119" s="627"/>
      <c r="G119" s="627"/>
    </row>
    <row r="120" spans="2:7" s="626" customFormat="1" ht="20.100000000000001" customHeight="1">
      <c r="B120" s="624"/>
      <c r="C120" s="625"/>
      <c r="D120" s="580"/>
      <c r="F120" s="627"/>
      <c r="G120" s="627"/>
    </row>
    <row r="121" spans="2:7" s="626" customFormat="1" ht="20.100000000000001" customHeight="1">
      <c r="B121" s="624"/>
      <c r="C121" s="625"/>
      <c r="D121" s="580"/>
      <c r="F121" s="627"/>
      <c r="G121" s="627"/>
    </row>
    <row r="122" spans="2:7" s="626" customFormat="1" ht="20.100000000000001" customHeight="1">
      <c r="B122" s="624"/>
      <c r="C122" s="625"/>
      <c r="D122" s="580"/>
      <c r="F122" s="627"/>
      <c r="G122" s="627"/>
    </row>
    <row r="123" spans="2:7" s="626" customFormat="1" ht="20.100000000000001" customHeight="1">
      <c r="B123" s="624"/>
      <c r="C123" s="625"/>
      <c r="D123" s="580"/>
      <c r="F123" s="627"/>
      <c r="G123" s="627"/>
    </row>
    <row r="124" spans="2:7" s="626" customFormat="1" ht="20.100000000000001" customHeight="1">
      <c r="B124" s="624"/>
      <c r="C124" s="625"/>
      <c r="D124" s="580"/>
      <c r="F124" s="627"/>
      <c r="G124" s="627"/>
    </row>
    <row r="125" spans="2:7" s="626" customFormat="1" ht="20.100000000000001" customHeight="1">
      <c r="B125" s="624"/>
      <c r="C125" s="625"/>
      <c r="D125" s="580"/>
      <c r="F125" s="627"/>
      <c r="G125" s="627"/>
    </row>
    <row r="126" spans="2:7" s="626" customFormat="1" ht="20.100000000000001" customHeight="1">
      <c r="B126" s="624"/>
      <c r="C126" s="625"/>
      <c r="D126" s="580"/>
      <c r="F126" s="627"/>
      <c r="G126" s="627"/>
    </row>
    <row r="127" spans="2:7" s="626" customFormat="1" ht="20.100000000000001" customHeight="1">
      <c r="B127" s="624"/>
      <c r="C127" s="625"/>
      <c r="D127" s="580"/>
      <c r="F127" s="627"/>
      <c r="G127" s="627"/>
    </row>
    <row r="128" spans="2:7" s="626" customFormat="1" ht="20.100000000000001" customHeight="1">
      <c r="B128" s="624"/>
      <c r="C128" s="625"/>
      <c r="D128" s="580"/>
      <c r="F128" s="627"/>
      <c r="G128" s="627"/>
    </row>
    <row r="129" spans="2:7" s="626" customFormat="1" ht="20.100000000000001" customHeight="1">
      <c r="B129" s="624"/>
      <c r="C129" s="625"/>
      <c r="D129" s="580"/>
      <c r="F129" s="627"/>
      <c r="G129" s="627"/>
    </row>
    <row r="130" spans="2:7" ht="20.100000000000001" customHeight="1"/>
    <row r="131" spans="2:7" ht="20.100000000000001" customHeight="1"/>
    <row r="132" spans="2:7" ht="20.100000000000001" customHeight="1"/>
    <row r="133" spans="2:7" ht="20.100000000000001" customHeight="1"/>
    <row r="134" spans="2:7" ht="20.100000000000001" customHeight="1"/>
    <row r="135" spans="2:7" ht="20.100000000000001" customHeight="1"/>
    <row r="136" spans="2:7" ht="20.100000000000001" customHeight="1"/>
    <row r="137" spans="2:7" ht="20.100000000000001" customHeight="1"/>
    <row r="138" spans="2:7" ht="20.100000000000001" customHeight="1"/>
    <row r="139" spans="2:7" ht="20.100000000000001" customHeight="1"/>
    <row r="140" spans="2:7" ht="20.100000000000001" customHeight="1"/>
    <row r="141" spans="2:7" ht="20.100000000000001" customHeight="1"/>
    <row r="142" spans="2:7" ht="20.100000000000001" customHeight="1"/>
    <row r="143" spans="2:7" ht="20.100000000000001" customHeight="1"/>
    <row r="144" spans="2:7"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sheetData>
  <mergeCells count="1">
    <mergeCell ref="B56:D56"/>
  </mergeCells>
  <conditionalFormatting sqref="E56">
    <cfRule type="expression" dxfId="3" priority="2">
      <formula>#REF!=0</formula>
    </cfRule>
  </conditionalFormatting>
  <conditionalFormatting sqref="E63:E64 E78">
    <cfRule type="expression" dxfId="2" priority="1">
      <formula>#REF!=0</formula>
    </cfRule>
  </conditionalFormatting>
  <hyperlinks>
    <hyperlink ref="B70" r:id="rId1"/>
    <hyperlink ref="B69" r:id="rId2"/>
    <hyperlink ref="B20" r:id="rId3" display="Капачки"/>
    <hyperlink ref="B21" r:id="rId4"/>
    <hyperlink ref="B32" r:id="rId5" display="Размесване на  38°С - Протеаза на 55°С"/>
    <hyperlink ref="B1" r:id="rId6" display="Hefewizen"/>
    <hyperlink ref="B11" r:id="rId7" display="Wheat Malt pale"/>
    <hyperlink ref="B12" r:id="rId8" display="Pilsner"/>
    <hyperlink ref="B19" r:id="rId9"/>
    <hyperlink ref="B16" r:id="rId10" display="Жатец - 5м (ароматен;  за аромат;  3,4%)"/>
  </hyperlinks>
  <printOptions horizontalCentered="1"/>
  <pageMargins left="0.15748031496062992" right="0.15748031496062992" top="0.15748031496062992" bottom="0.15748031496062992" header="0" footer="0.15748031496062992"/>
  <pageSetup firstPageNumber="0" orientation="portrait" r:id="rId11"/>
  <headerFooter alignWithMargins="0"/>
  <legacyDrawing r:id="rId12"/>
</worksheet>
</file>

<file path=xl/worksheets/sheet18.xml><?xml version="1.0" encoding="utf-8"?>
<worksheet xmlns="http://schemas.openxmlformats.org/spreadsheetml/2006/main" xmlns:r="http://schemas.openxmlformats.org/officeDocument/2006/relationships">
  <dimension ref="A1:O170"/>
  <sheetViews>
    <sheetView workbookViewId="0">
      <selection activeCell="B11" sqref="B11:C15"/>
    </sheetView>
  </sheetViews>
  <sheetFormatPr defaultColWidth="8.85546875" defaultRowHeight="12.75"/>
  <cols>
    <col min="1" max="1" width="3.7109375" style="580" customWidth="1"/>
    <col min="2" max="2" width="55.7109375" style="624" customWidth="1"/>
    <col min="3" max="3" width="12.7109375" style="625" customWidth="1"/>
    <col min="4" max="4" width="12.7109375" style="580" customWidth="1"/>
    <col min="5" max="5" width="12.7109375" style="626" customWidth="1"/>
    <col min="6" max="7" width="12.7109375" style="627" customWidth="1"/>
    <col min="8" max="19" width="12.7109375" style="580" customWidth="1"/>
    <col min="20" max="16384" width="8.85546875" style="580"/>
  </cols>
  <sheetData>
    <row r="1" spans="1:11" s="244" customFormat="1" ht="24.95" customHeight="1">
      <c r="A1" s="243"/>
      <c r="B1" s="568" t="s">
        <v>715</v>
      </c>
      <c r="C1" s="245" t="s">
        <v>221</v>
      </c>
      <c r="D1" s="245" t="s">
        <v>349</v>
      </c>
      <c r="E1" s="245" t="s">
        <v>144</v>
      </c>
      <c r="H1" s="246"/>
    </row>
    <row r="2" spans="1:11" s="244" customFormat="1" ht="24.95" customHeight="1">
      <c r="A2" s="243"/>
      <c r="B2" s="265" t="s">
        <v>789</v>
      </c>
      <c r="C2" s="245"/>
      <c r="D2" s="248"/>
      <c r="E2" s="249"/>
    </row>
    <row r="3" spans="1:11" s="244" customFormat="1" ht="24.95" customHeight="1">
      <c r="A3" s="243"/>
      <c r="B3" s="250" t="s">
        <v>790</v>
      </c>
      <c r="C3" s="251" t="s">
        <v>95</v>
      </c>
      <c r="D3" s="251" t="s">
        <v>385</v>
      </c>
      <c r="E3" s="251" t="s">
        <v>387</v>
      </c>
      <c r="F3" s="251" t="s">
        <v>528</v>
      </c>
      <c r="I3" s="668"/>
      <c r="J3" s="672" t="s">
        <v>529</v>
      </c>
      <c r="K3" s="669"/>
    </row>
    <row r="4" spans="1:11" s="244" customFormat="1" ht="24.95" customHeight="1">
      <c r="A4" s="243"/>
      <c r="B4" s="250" t="s">
        <v>792</v>
      </c>
      <c r="C4" s="685">
        <v>1</v>
      </c>
      <c r="D4" s="407">
        <f>C4*6.6</f>
        <v>6.6</v>
      </c>
      <c r="E4" s="407">
        <f>C4*5.4</f>
        <v>5.4</v>
      </c>
      <c r="F4" s="451">
        <f>E4*0.93*2</f>
        <v>10.044</v>
      </c>
      <c r="I4" s="673" t="s">
        <v>530</v>
      </c>
      <c r="J4" s="671">
        <v>0.12</v>
      </c>
      <c r="K4" s="670">
        <v>30</v>
      </c>
    </row>
    <row r="5" spans="1:11" s="244" customFormat="1" ht="24.95" customHeight="1">
      <c r="A5" s="243"/>
      <c r="B5" s="250" t="s">
        <v>793</v>
      </c>
      <c r="C5" s="255"/>
      <c r="D5" s="255"/>
      <c r="E5" s="290"/>
      <c r="F5" s="255"/>
      <c r="I5" s="673" t="s">
        <v>531</v>
      </c>
      <c r="J5" s="671"/>
      <c r="K5" s="670">
        <v>45</v>
      </c>
    </row>
    <row r="6" spans="1:11" s="244" customFormat="1" ht="24.95" customHeight="1">
      <c r="A6" s="243"/>
      <c r="B6" s="250" t="s">
        <v>794</v>
      </c>
      <c r="C6" s="251" t="s">
        <v>386</v>
      </c>
      <c r="D6" s="251" t="s">
        <v>46</v>
      </c>
      <c r="E6" s="249"/>
      <c r="F6" s="251" t="s">
        <v>541</v>
      </c>
      <c r="I6" s="673" t="s">
        <v>649</v>
      </c>
      <c r="J6" s="671">
        <v>2.9000000000000001E-2</v>
      </c>
      <c r="K6" s="670">
        <v>14</v>
      </c>
    </row>
    <row r="7" spans="1:11" s="244" customFormat="1" ht="24.95" customHeight="1">
      <c r="A7" s="243"/>
      <c r="B7" s="250" t="s">
        <v>795</v>
      </c>
      <c r="C7" s="256">
        <f>SUM(F10:F29)</f>
        <v>20.403632000000002</v>
      </c>
      <c r="D7" s="257">
        <f>IF(F7=0," ",C7/F7)</f>
        <v>0.44355721739130438</v>
      </c>
      <c r="E7" s="249"/>
      <c r="F7" s="467">
        <v>46</v>
      </c>
      <c r="I7" s="673" t="s">
        <v>741</v>
      </c>
      <c r="J7" s="671">
        <v>7.0999999999999994E-2</v>
      </c>
      <c r="K7" s="670">
        <v>0</v>
      </c>
    </row>
    <row r="8" spans="1:11" s="244" customFormat="1" ht="24.95" customHeight="1">
      <c r="A8" s="243"/>
      <c r="B8" s="250" t="s">
        <v>791</v>
      </c>
      <c r="C8" s="245"/>
      <c r="D8" s="248"/>
      <c r="E8" s="249"/>
      <c r="I8" s="673" t="s">
        <v>532</v>
      </c>
      <c r="J8" s="671"/>
      <c r="K8" s="670">
        <v>18</v>
      </c>
    </row>
    <row r="9" spans="1:11" s="244" customFormat="1" ht="24.95" customHeight="1">
      <c r="A9" s="243"/>
      <c r="B9" s="258"/>
      <c r="C9" s="245"/>
      <c r="D9" s="248"/>
      <c r="E9" s="249"/>
      <c r="I9" s="673"/>
      <c r="J9" s="671"/>
      <c r="K9" s="670"/>
    </row>
    <row r="10" spans="1:11" s="244" customFormat="1" ht="24.95" customHeight="1">
      <c r="A10" s="243"/>
      <c r="B10" s="259" t="s">
        <v>95</v>
      </c>
      <c r="C10" s="260" t="s">
        <v>42</v>
      </c>
      <c r="D10" s="260" t="s">
        <v>354</v>
      </c>
      <c r="E10" s="260" t="s">
        <v>41</v>
      </c>
      <c r="F10" s="245" t="s">
        <v>41</v>
      </c>
      <c r="G10" s="299" t="s">
        <v>653</v>
      </c>
    </row>
    <row r="11" spans="1:11" s="261" customFormat="1" ht="24.95" customHeight="1">
      <c r="A11" s="243">
        <v>1</v>
      </c>
      <c r="B11" s="265" t="s">
        <v>434</v>
      </c>
      <c r="C11" s="402">
        <f>C4*D11</f>
        <v>0.75</v>
      </c>
      <c r="D11" s="411">
        <v>0.75</v>
      </c>
      <c r="E11" s="501">
        <v>2.15</v>
      </c>
      <c r="F11" s="269">
        <f>C11*E11</f>
        <v>1.6124999999999998</v>
      </c>
      <c r="G11" s="261">
        <v>3.75</v>
      </c>
      <c r="I11" s="673"/>
      <c r="J11" s="671"/>
      <c r="K11" s="670"/>
    </row>
    <row r="12" spans="1:11" s="261" customFormat="1" ht="24.95" customHeight="1">
      <c r="A12" s="243">
        <v>2</v>
      </c>
      <c r="B12" s="265" t="s">
        <v>771</v>
      </c>
      <c r="C12" s="403">
        <f>C4*D12</f>
        <v>0.1</v>
      </c>
      <c r="D12" s="412">
        <v>0.1</v>
      </c>
      <c r="E12" s="501">
        <v>2.6</v>
      </c>
      <c r="F12" s="284">
        <f>C12*E12</f>
        <v>0.26</v>
      </c>
      <c r="G12" s="261">
        <v>0.5</v>
      </c>
      <c r="H12" s="673"/>
      <c r="J12" s="573" t="s">
        <v>433</v>
      </c>
      <c r="K12" s="676" t="s">
        <v>742</v>
      </c>
    </row>
    <row r="13" spans="1:11" s="261" customFormat="1" ht="24.95" customHeight="1">
      <c r="A13" s="243">
        <v>3</v>
      </c>
      <c r="B13" s="265" t="s">
        <v>654</v>
      </c>
      <c r="C13" s="403">
        <f>C4*D13</f>
        <v>0.1</v>
      </c>
      <c r="D13" s="412">
        <v>0.1</v>
      </c>
      <c r="E13" s="501">
        <v>2.9</v>
      </c>
      <c r="F13" s="284">
        <f>C13*E13</f>
        <v>0.28999999999999998</v>
      </c>
      <c r="G13" s="261">
        <v>0.5</v>
      </c>
      <c r="H13" s="673"/>
      <c r="J13" s="573" t="s">
        <v>713</v>
      </c>
      <c r="K13" s="676" t="s">
        <v>743</v>
      </c>
    </row>
    <row r="14" spans="1:11" s="261" customFormat="1" ht="24.95" customHeight="1">
      <c r="A14" s="243">
        <v>4</v>
      </c>
      <c r="B14" s="265" t="s">
        <v>770</v>
      </c>
      <c r="C14" s="403">
        <f>C4*D14</f>
        <v>0.04</v>
      </c>
      <c r="D14" s="412">
        <v>0.04</v>
      </c>
      <c r="E14" s="501">
        <v>3.05</v>
      </c>
      <c r="F14" s="284">
        <f t="shared" ref="F14:F15" si="0">C14*E14</f>
        <v>0.122</v>
      </c>
      <c r="G14" s="261">
        <v>0.2</v>
      </c>
      <c r="H14" s="550"/>
      <c r="J14" s="573" t="s">
        <v>714</v>
      </c>
      <c r="K14" s="676" t="s">
        <v>744</v>
      </c>
    </row>
    <row r="15" spans="1:11" s="261" customFormat="1" ht="24.95" customHeight="1">
      <c r="A15" s="243">
        <v>5</v>
      </c>
      <c r="B15" s="265" t="s">
        <v>772</v>
      </c>
      <c r="C15" s="404">
        <f>C4*D15</f>
        <v>0.01</v>
      </c>
      <c r="D15" s="413">
        <v>0.01</v>
      </c>
      <c r="E15" s="501">
        <v>3</v>
      </c>
      <c r="F15" s="274">
        <f t="shared" si="0"/>
        <v>0.03</v>
      </c>
      <c r="G15" s="551">
        <v>0.05</v>
      </c>
      <c r="H15" s="550"/>
      <c r="J15" s="573" t="s">
        <v>748</v>
      </c>
      <c r="K15" s="676" t="s">
        <v>745</v>
      </c>
    </row>
    <row r="16" spans="1:11" s="261" customFormat="1" ht="24.95" customHeight="1">
      <c r="A16" s="243"/>
      <c r="C16" s="276"/>
      <c r="D16" s="277"/>
      <c r="E16" s="501"/>
      <c r="F16" s="279"/>
      <c r="G16" s="336">
        <f>SUM(G11:G15)</f>
        <v>5</v>
      </c>
      <c r="H16" s="552"/>
      <c r="J16" s="573" t="s">
        <v>715</v>
      </c>
      <c r="K16" s="676" t="s">
        <v>746</v>
      </c>
    </row>
    <row r="17" spans="1:11" s="255" customFormat="1" ht="24.95" customHeight="1">
      <c r="A17" s="275"/>
      <c r="B17"/>
      <c r="C17" s="276"/>
      <c r="D17" s="277"/>
      <c r="E17" s="278"/>
      <c r="F17" s="279"/>
      <c r="J17" s="573" t="s">
        <v>716</v>
      </c>
      <c r="K17" s="676" t="s">
        <v>747</v>
      </c>
    </row>
    <row r="18" spans="1:11" s="255" customFormat="1" ht="24.95" customHeight="1">
      <c r="A18" s="275"/>
      <c r="B18" s="259" t="s">
        <v>337</v>
      </c>
      <c r="C18" s="554"/>
      <c r="D18" s="532" t="s">
        <v>216</v>
      </c>
      <c r="E18" s="281" t="s">
        <v>336</v>
      </c>
      <c r="F18" s="279"/>
      <c r="I18" s="264"/>
      <c r="J18" s="677" t="s">
        <v>749</v>
      </c>
    </row>
    <row r="19" spans="1:11" s="261" customFormat="1" ht="24.95" customHeight="1">
      <c r="A19" s="243">
        <v>6</v>
      </c>
      <c r="B19" s="152" t="s">
        <v>796</v>
      </c>
      <c r="D19" s="553">
        <f>SUM(C49:C51)</f>
        <v>56.1</v>
      </c>
      <c r="E19" s="504">
        <v>79</v>
      </c>
      <c r="F19" s="401">
        <f>(D19/1000)*E19</f>
        <v>4.4319000000000006</v>
      </c>
      <c r="H19" s="272"/>
      <c r="I19" s="681"/>
    </row>
    <row r="20" spans="1:11" s="255" customFormat="1" ht="24.95" customHeight="1">
      <c r="A20" s="275"/>
      <c r="B20" s="261"/>
      <c r="C20" s="545"/>
      <c r="D20" s="276"/>
      <c r="E20" s="278"/>
      <c r="F20" s="279"/>
      <c r="I20"/>
    </row>
    <row r="21" spans="1:11" s="255" customFormat="1" ht="24.95" customHeight="1">
      <c r="A21" s="275"/>
      <c r="B21" s="259" t="s">
        <v>355</v>
      </c>
      <c r="C21" s="280"/>
      <c r="D21" s="532"/>
      <c r="E21" s="281" t="s">
        <v>448</v>
      </c>
      <c r="F21" s="279"/>
      <c r="I21"/>
    </row>
    <row r="22" spans="1:11" s="261" customFormat="1" ht="24.95" customHeight="1">
      <c r="A22" s="243">
        <v>7</v>
      </c>
      <c r="B22" s="690" t="s">
        <v>773</v>
      </c>
      <c r="C22" s="287"/>
      <c r="D22" s="431">
        <v>1</v>
      </c>
      <c r="E22" s="363">
        <v>4.0999999999999996</v>
      </c>
      <c r="F22" s="269">
        <f>D22*E22</f>
        <v>4.0999999999999996</v>
      </c>
      <c r="H22" s="290"/>
      <c r="I22"/>
    </row>
    <row r="23" spans="1:11" s="261" customFormat="1" ht="24.95" customHeight="1">
      <c r="A23" s="243">
        <v>8</v>
      </c>
      <c r="B23" s="683" t="s">
        <v>797</v>
      </c>
      <c r="C23" s="287"/>
      <c r="D23" s="466"/>
      <c r="E23" s="363"/>
      <c r="F23" s="284"/>
      <c r="H23" s="290"/>
      <c r="I23"/>
    </row>
    <row r="24" spans="1:11" s="261" customFormat="1" ht="24.95" customHeight="1">
      <c r="A24" s="243">
        <v>9</v>
      </c>
      <c r="B24" s="265" t="s">
        <v>25</v>
      </c>
      <c r="C24" s="267"/>
      <c r="D24" s="466">
        <f>F4+2</f>
        <v>12.044</v>
      </c>
      <c r="E24" s="363">
        <v>2.8000000000000001E-2</v>
      </c>
      <c r="F24" s="284">
        <f>D24*E24</f>
        <v>0.33723200000000003</v>
      </c>
      <c r="H24" s="264"/>
      <c r="I24"/>
    </row>
    <row r="25" spans="1:11" s="261" customFormat="1" ht="24.95" customHeight="1">
      <c r="A25" s="243">
        <v>10</v>
      </c>
      <c r="B25" s="265" t="s">
        <v>356</v>
      </c>
      <c r="D25" s="433">
        <f>C4</f>
        <v>1</v>
      </c>
      <c r="E25" s="363">
        <v>0.25</v>
      </c>
      <c r="F25" s="284">
        <f>D25*E25</f>
        <v>0.25</v>
      </c>
      <c r="I25"/>
    </row>
    <row r="26" spans="1:11" s="261" customFormat="1" ht="24.95" customHeight="1">
      <c r="A26" s="243">
        <v>11</v>
      </c>
      <c r="B26" s="673" t="s">
        <v>403</v>
      </c>
      <c r="D26" s="533">
        <v>1</v>
      </c>
      <c r="E26" s="363">
        <v>1.3</v>
      </c>
      <c r="F26" s="274">
        <f>D26*E26</f>
        <v>1.3</v>
      </c>
      <c r="I26"/>
    </row>
    <row r="27" spans="1:11" s="261" customFormat="1" ht="24.95" customHeight="1">
      <c r="A27" s="243"/>
      <c r="E27" s="268"/>
      <c r="I27"/>
    </row>
    <row r="28" spans="1:11" s="261" customFormat="1" ht="24.95" customHeight="1">
      <c r="A28" s="243">
        <v>12</v>
      </c>
      <c r="B28" s="673" t="s">
        <v>43</v>
      </c>
      <c r="E28" s="268"/>
      <c r="F28" s="294">
        <v>5.67</v>
      </c>
      <c r="I28"/>
    </row>
    <row r="29" spans="1:11" s="261" customFormat="1" ht="24.95" customHeight="1">
      <c r="A29" s="243">
        <v>13</v>
      </c>
      <c r="B29" s="490" t="s">
        <v>565</v>
      </c>
      <c r="C29" s="490"/>
      <c r="D29" s="490"/>
      <c r="E29" s="491"/>
      <c r="F29" s="296">
        <v>2</v>
      </c>
      <c r="I29"/>
    </row>
    <row r="30" spans="1:11" s="261" customFormat="1" ht="24.95" customHeight="1">
      <c r="A30" s="243"/>
      <c r="D30" s="297"/>
      <c r="E30" s="305"/>
      <c r="F30" s="297"/>
      <c r="I30"/>
    </row>
    <row r="31" spans="1:11" s="261" customFormat="1" ht="24.95" customHeight="1">
      <c r="A31" s="243"/>
      <c r="B31" s="299"/>
      <c r="C31" s="373"/>
      <c r="D31" s="297"/>
      <c r="E31" s="305"/>
      <c r="I31"/>
    </row>
    <row r="32" spans="1:11" s="261" customFormat="1" ht="24.95" customHeight="1">
      <c r="B32" s="563" t="str">
        <f>("ГРАФИК"&amp;" "&amp;B1)</f>
        <v>ГРАФИК Spider Pig</v>
      </c>
      <c r="C32" s="538" t="s">
        <v>441</v>
      </c>
      <c r="D32" s="448"/>
      <c r="E32" s="449"/>
      <c r="I32"/>
    </row>
    <row r="33" spans="1:9" s="261" customFormat="1" ht="24.95" customHeight="1">
      <c r="B33" s="563"/>
      <c r="C33" s="538"/>
      <c r="D33" s="689"/>
      <c r="E33" s="539"/>
      <c r="I33"/>
    </row>
    <row r="34" spans="1:9" s="261" customFormat="1" ht="24.95" customHeight="1">
      <c r="B34" s="261" t="s">
        <v>527</v>
      </c>
      <c r="C34" s="409" t="s">
        <v>99</v>
      </c>
      <c r="D34" s="409" t="s">
        <v>100</v>
      </c>
      <c r="E34" s="409" t="s">
        <v>101</v>
      </c>
      <c r="I34"/>
    </row>
    <row r="35" spans="1:9" s="261" customFormat="1" ht="24.95" customHeight="1">
      <c r="A35" s="434">
        <v>1</v>
      </c>
      <c r="B35" s="325" t="s">
        <v>543</v>
      </c>
      <c r="C35" s="407">
        <f>C4*3</f>
        <v>3</v>
      </c>
      <c r="D35" s="407">
        <f>C4*5</f>
        <v>5</v>
      </c>
      <c r="E35" s="253">
        <f>SUM(C35:D35)</f>
        <v>8</v>
      </c>
      <c r="F35" s="270"/>
      <c r="I35"/>
    </row>
    <row r="36" spans="1:9" s="261" customFormat="1" ht="24.95" customHeight="1">
      <c r="A36" s="434">
        <v>2</v>
      </c>
      <c r="B36" s="265" t="s">
        <v>802</v>
      </c>
      <c r="C36" s="419">
        <v>1.0416666666666666E-2</v>
      </c>
      <c r="D36" s="420"/>
      <c r="E36" s="421" t="str">
        <f>IF(D36=0," ",D36+C36)</f>
        <v/>
      </c>
      <c r="H36" s="270"/>
      <c r="I36"/>
    </row>
    <row r="37" spans="1:9" s="261" customFormat="1" ht="24.95" customHeight="1">
      <c r="A37" s="434">
        <v>3</v>
      </c>
      <c r="B37" s="261" t="s">
        <v>798</v>
      </c>
      <c r="C37" s="419">
        <v>2.7777777777777776E-2</v>
      </c>
      <c r="D37" s="420"/>
      <c r="E37" s="421" t="str">
        <f>IF(D37=0," ",D37+C37)</f>
        <v/>
      </c>
      <c r="H37" s="270"/>
      <c r="I37"/>
    </row>
    <row r="38" spans="1:9" s="261" customFormat="1" ht="24.95" customHeight="1">
      <c r="A38" s="434">
        <v>4</v>
      </c>
      <c r="B38" s="261" t="s">
        <v>674</v>
      </c>
      <c r="C38" s="419">
        <v>1.0416666666666666E-2</v>
      </c>
      <c r="D38" s="420"/>
      <c r="E38" s="421" t="str">
        <f>IF(D38=0," ",D38+C38)</f>
        <v/>
      </c>
      <c r="H38" s="270"/>
    </row>
    <row r="39" spans="1:9" s="261" customFormat="1" ht="24.95" customHeight="1">
      <c r="A39" s="434">
        <v>5</v>
      </c>
      <c r="B39" s="261" t="s">
        <v>536</v>
      </c>
      <c r="E39" s="305"/>
      <c r="H39" s="270"/>
    </row>
    <row r="40" spans="1:9" s="261" customFormat="1" ht="24.95" customHeight="1">
      <c r="A40" s="434">
        <v>6</v>
      </c>
      <c r="B40" s="261" t="s">
        <v>578</v>
      </c>
      <c r="H40" s="270"/>
    </row>
    <row r="41" spans="1:9" s="261" customFormat="1" ht="24.95" customHeight="1">
      <c r="A41" s="434"/>
      <c r="D41" s="408" t="s">
        <v>584</v>
      </c>
      <c r="E41" s="409" t="s">
        <v>585</v>
      </c>
      <c r="H41" s="270"/>
    </row>
    <row r="42" spans="1:9" s="261" customFormat="1" ht="24.95" customHeight="1">
      <c r="A42" s="434">
        <v>7</v>
      </c>
      <c r="B42" s="301" t="s">
        <v>711</v>
      </c>
      <c r="D42" s="420"/>
      <c r="E42" s="420"/>
      <c r="H42" s="270"/>
    </row>
    <row r="43" spans="1:9" s="261" customFormat="1" ht="24.95" customHeight="1">
      <c r="A43" s="434">
        <v>8</v>
      </c>
      <c r="B43" s="244" t="s">
        <v>677</v>
      </c>
      <c r="C43" s="417"/>
      <c r="D43" s="417"/>
      <c r="E43" s="417"/>
      <c r="H43" s="270"/>
    </row>
    <row r="44" spans="1:9" s="261" customFormat="1" ht="24.95" customHeight="1">
      <c r="A44" s="434">
        <v>9</v>
      </c>
      <c r="B44" s="244" t="s">
        <v>676</v>
      </c>
      <c r="C44" s="560"/>
      <c r="D44" s="561"/>
      <c r="E44" s="460"/>
      <c r="H44" s="270"/>
    </row>
    <row r="45" spans="1:9" s="261" customFormat="1" ht="24.95" customHeight="1">
      <c r="A45" s="434">
        <v>10</v>
      </c>
      <c r="B45" s="244" t="s">
        <v>678</v>
      </c>
      <c r="C45" s="560"/>
      <c r="D45" s="562"/>
      <c r="E45" s="460"/>
      <c r="H45" s="270"/>
    </row>
    <row r="46" spans="1:9" s="261" customFormat="1" ht="24.95" customHeight="1">
      <c r="A46" s="434">
        <v>11</v>
      </c>
      <c r="B46" s="674" t="s">
        <v>642</v>
      </c>
      <c r="C46" s="516"/>
      <c r="D46" s="557" t="s">
        <v>581</v>
      </c>
      <c r="E46" s="460"/>
      <c r="H46" s="270"/>
    </row>
    <row r="47" spans="1:9" s="261" customFormat="1" ht="24.95" customHeight="1">
      <c r="A47" s="434"/>
      <c r="C47" s="408"/>
      <c r="D47" s="409"/>
      <c r="E47" s="305"/>
      <c r="H47" s="270"/>
    </row>
    <row r="48" spans="1:9" s="261" customFormat="1" ht="24.95" customHeight="1">
      <c r="A48" s="434">
        <v>12</v>
      </c>
      <c r="B48" s="301" t="s">
        <v>380</v>
      </c>
      <c r="C48" s="538" t="s">
        <v>577</v>
      </c>
      <c r="D48" s="510">
        <v>4.8611111111111112E-2</v>
      </c>
      <c r="E48" s="509"/>
      <c r="F48" s="261" t="s">
        <v>587</v>
      </c>
      <c r="H48" s="270"/>
    </row>
    <row r="49" spans="1:8" s="261" customFormat="1" ht="24.95" customHeight="1">
      <c r="A49" s="434">
        <v>13</v>
      </c>
      <c r="B49" s="522" t="str">
        <f>B19</f>
        <v>Aurora   AA 9,2%</v>
      </c>
      <c r="C49" s="396">
        <f>F49*D4</f>
        <v>3.3</v>
      </c>
      <c r="D49" s="511">
        <v>4.1666666666666664E-2</v>
      </c>
      <c r="E49" s="508" t="str">
        <f>IF(E48=0," ",E52-D49)</f>
        <v/>
      </c>
      <c r="F49" s="503">
        <v>0.5</v>
      </c>
      <c r="H49" s="270"/>
    </row>
    <row r="50" spans="1:8" s="261" customFormat="1" ht="24.95" customHeight="1">
      <c r="A50" s="434">
        <v>14</v>
      </c>
      <c r="B50" s="522" t="str">
        <f>B19</f>
        <v>Aurora   AA 9,2%</v>
      </c>
      <c r="C50" s="397">
        <f>F50*D4</f>
        <v>3.3</v>
      </c>
      <c r="D50" s="512">
        <v>1.3888888888888888E-2</v>
      </c>
      <c r="E50" s="477" t="str">
        <f>IF(E48=0," ",E52-D50)</f>
        <v/>
      </c>
      <c r="F50" s="505">
        <v>0.5</v>
      </c>
      <c r="H50" s="270"/>
    </row>
    <row r="51" spans="1:8" s="261" customFormat="1" ht="24.95" customHeight="1">
      <c r="A51" s="434">
        <v>15</v>
      </c>
      <c r="B51" s="522" t="str">
        <f>(B23&amp;" "&amp;"@ 0мин / 85°C")</f>
        <v>мед @ 0мин / 85°C</v>
      </c>
      <c r="C51" s="398">
        <f>F51*D4</f>
        <v>49.5</v>
      </c>
      <c r="D51" s="513">
        <v>0</v>
      </c>
      <c r="E51" s="440" t="str">
        <f>IF(E48=0," ",E52-D51)</f>
        <v/>
      </c>
      <c r="F51" s="502">
        <v>7.5</v>
      </c>
      <c r="H51" s="270"/>
    </row>
    <row r="52" spans="1:8" s="261" customFormat="1" ht="24.95" customHeight="1">
      <c r="A52" s="434">
        <v>16</v>
      </c>
      <c r="B52" s="319" t="s">
        <v>340</v>
      </c>
      <c r="D52" s="538" t="s">
        <v>497</v>
      </c>
      <c r="E52" s="419" t="str">
        <f>IF(E48=0," ",E48+D48)</f>
        <v/>
      </c>
      <c r="F52" s="322"/>
    </row>
    <row r="53" spans="1:8" s="261" customFormat="1" ht="24.95" customHeight="1">
      <c r="A53" s="434"/>
      <c r="C53" s="408"/>
      <c r="D53" s="409"/>
      <c r="E53" s="305"/>
      <c r="H53" s="270"/>
    </row>
    <row r="54" spans="1:8" s="261" customFormat="1" ht="24.95" customHeight="1">
      <c r="A54" s="434">
        <v>17</v>
      </c>
      <c r="B54" s="441" t="s">
        <v>622</v>
      </c>
      <c r="C54" s="424"/>
      <c r="D54" s="424"/>
      <c r="E54" s="478" t="str">
        <f>IF(C54=0," ",(D54-C54))</f>
        <v/>
      </c>
      <c r="F54" s="305"/>
    </row>
    <row r="55" spans="1:8" s="261" customFormat="1" ht="24.95" customHeight="1">
      <c r="A55" s="434">
        <v>18</v>
      </c>
      <c r="B55" s="674" t="s">
        <v>651</v>
      </c>
      <c r="C55" s="314"/>
      <c r="D55" s="314"/>
      <c r="E55" s="457"/>
    </row>
    <row r="56" spans="1:8" s="261" customFormat="1" ht="24.95" customHeight="1">
      <c r="A56" s="434">
        <v>19</v>
      </c>
      <c r="B56" s="673" t="s">
        <v>624</v>
      </c>
      <c r="C56" s="674"/>
      <c r="D56" s="674"/>
      <c r="E56" s="417"/>
      <c r="F56" s="305"/>
    </row>
    <row r="57" spans="1:8" s="261" customFormat="1" ht="24.95" customHeight="1">
      <c r="A57" s="434">
        <v>20</v>
      </c>
      <c r="B57" s="261" t="s">
        <v>787</v>
      </c>
      <c r="D57" s="538" t="s">
        <v>623</v>
      </c>
      <c r="E57" s="449"/>
    </row>
    <row r="58" spans="1:8" s="261" customFormat="1" ht="24.95" customHeight="1">
      <c r="A58" s="434">
        <v>21</v>
      </c>
      <c r="B58" s="261" t="s">
        <v>806</v>
      </c>
    </row>
    <row r="59" spans="1:8" s="261" customFormat="1" ht="24.95" customHeight="1">
      <c r="A59" s="434"/>
      <c r="B59" s="336"/>
      <c r="D59" s="538"/>
      <c r="E59" s="539"/>
    </row>
    <row r="60" spans="1:8" s="261" customFormat="1" ht="24.95" customHeight="1">
      <c r="A60" s="434">
        <v>22</v>
      </c>
      <c r="B60" s="261" t="s">
        <v>673</v>
      </c>
      <c r="F60" s="305"/>
    </row>
    <row r="61" spans="1:8" s="317" customFormat="1" ht="24.95" customHeight="1">
      <c r="A61" s="434">
        <v>23</v>
      </c>
      <c r="B61" s="709" t="s">
        <v>660</v>
      </c>
      <c r="C61" s="709"/>
      <c r="D61" s="710"/>
      <c r="E61" s="417"/>
      <c r="F61" s="324"/>
    </row>
    <row r="62" spans="1:8" s="317" customFormat="1" ht="24.95" customHeight="1">
      <c r="A62" s="434">
        <v>24</v>
      </c>
      <c r="B62" s="673" t="s">
        <v>598</v>
      </c>
      <c r="D62" s="538" t="s">
        <v>515</v>
      </c>
      <c r="E62" s="448"/>
      <c r="F62" s="324"/>
    </row>
    <row r="63" spans="1:8" s="261" customFormat="1" ht="24.95" customHeight="1">
      <c r="A63" s="243"/>
      <c r="E63" s="305"/>
      <c r="H63" s="270"/>
    </row>
    <row r="64" spans="1:8" s="261" customFormat="1" ht="24.95" customHeight="1">
      <c r="A64" s="243"/>
      <c r="E64" s="305"/>
      <c r="H64" s="270"/>
    </row>
    <row r="65" spans="1:8" s="298" customFormat="1" ht="24.95" customHeight="1">
      <c r="A65" s="337"/>
      <c r="B65" s="480" t="s">
        <v>555</v>
      </c>
      <c r="D65" s="488"/>
      <c r="E65" s="481" t="str">
        <f>IF(E57=0," ",E57-E32)</f>
        <v/>
      </c>
    </row>
    <row r="66" spans="1:8" s="298" customFormat="1" ht="24.95" customHeight="1">
      <c r="A66" s="337"/>
      <c r="B66" s="354" t="s">
        <v>562</v>
      </c>
      <c r="D66" s="488"/>
      <c r="E66" s="489"/>
    </row>
    <row r="67" spans="1:8" s="298" customFormat="1" ht="24.95" customHeight="1">
      <c r="A67" s="337"/>
      <c r="B67" s="354" t="s">
        <v>556</v>
      </c>
      <c r="E67" s="482" t="str">
        <f>E54</f>
        <v/>
      </c>
    </row>
    <row r="68" spans="1:8" s="298" customFormat="1" ht="24.95" customHeight="1">
      <c r="A68" s="337"/>
      <c r="B68" s="357" t="s">
        <v>557</v>
      </c>
      <c r="E68" s="506"/>
    </row>
    <row r="69" spans="1:8" s="325" customFormat="1" ht="24.95" customHeight="1">
      <c r="B69" s="334"/>
      <c r="D69" s="335"/>
      <c r="E69" s="461"/>
    </row>
    <row r="70" spans="1:8" s="261" customFormat="1" ht="24.95" customHeight="1">
      <c r="A70" s="243"/>
      <c r="B70" s="336" t="s">
        <v>548</v>
      </c>
      <c r="C70" s="305"/>
      <c r="D70" s="305"/>
      <c r="E70" s="305"/>
    </row>
    <row r="71" spans="1:8" s="298" customFormat="1" ht="24.95" customHeight="1">
      <c r="A71" s="337"/>
      <c r="B71" s="338" t="s">
        <v>413</v>
      </c>
      <c r="C71" s="339"/>
      <c r="D71" s="339"/>
      <c r="E71" s="458" t="str">
        <f>IF(E56=0," ",((E56-E61)*0.52))</f>
        <v/>
      </c>
      <c r="H71" s="297"/>
    </row>
    <row r="72" spans="1:8" s="298" customFormat="1" ht="24.95" customHeight="1">
      <c r="A72" s="337"/>
      <c r="B72" s="342" t="s">
        <v>223</v>
      </c>
      <c r="C72" s="339"/>
      <c r="D72" s="339"/>
      <c r="E72" s="459" t="str">
        <f>IF(E56=0," ",E56)</f>
        <v/>
      </c>
      <c r="H72" s="297"/>
    </row>
    <row r="73" spans="1:8" s="298" customFormat="1" ht="24.95" customHeight="1">
      <c r="A73" s="337"/>
      <c r="B73" s="344" t="s">
        <v>219</v>
      </c>
      <c r="C73" s="675"/>
      <c r="D73" s="675"/>
      <c r="E73" s="392"/>
    </row>
    <row r="74" spans="1:8" s="298" customFormat="1" ht="24.95" customHeight="1">
      <c r="A74" s="337"/>
      <c r="B74" s="344" t="s">
        <v>218</v>
      </c>
      <c r="C74" s="347"/>
      <c r="E74" s="453"/>
    </row>
    <row r="75" spans="1:8" s="298" customFormat="1" ht="24.95" customHeight="1">
      <c r="A75" s="337"/>
      <c r="B75" s="349" t="s">
        <v>224</v>
      </c>
      <c r="C75" s="675"/>
      <c r="D75" s="675"/>
      <c r="E75" s="454" t="str">
        <f>IF(E56=0," ",(E56/(258.6-((E56/258.2)*227.1)))+1)</f>
        <v/>
      </c>
    </row>
    <row r="76" spans="1:8" s="298" customFormat="1" ht="24.95" customHeight="1">
      <c r="A76" s="337"/>
      <c r="B76" s="351" t="s">
        <v>225</v>
      </c>
      <c r="C76" s="675"/>
      <c r="D76" s="675"/>
      <c r="E76" s="455" t="str">
        <f>IF(E61=0," ",((E61/(258.6-((E61/258.2)*227.1))) + 1))</f>
        <v/>
      </c>
    </row>
    <row r="77" spans="1:8" s="261" customFormat="1" ht="24.95" customHeight="1">
      <c r="A77" s="243"/>
      <c r="B77" s="317"/>
      <c r="E77" s="305"/>
      <c r="F77"/>
      <c r="H77" s="270"/>
    </row>
    <row r="78" spans="1:8" s="298" customFormat="1" ht="24.95" customHeight="1">
      <c r="A78" s="337"/>
      <c r="B78" s="374" t="s">
        <v>154</v>
      </c>
      <c r="E78" s="353">
        <f>((E79*E80)/E81)/100</f>
        <v>0</v>
      </c>
      <c r="H78" s="297"/>
    </row>
    <row r="79" spans="1:8" s="298" customFormat="1" ht="24.95" customHeight="1">
      <c r="A79" s="337"/>
      <c r="B79" s="354" t="s">
        <v>510</v>
      </c>
      <c r="E79" s="355">
        <f>E55</f>
        <v>0</v>
      </c>
      <c r="H79" s="297"/>
    </row>
    <row r="80" spans="1:8" s="298" customFormat="1" ht="24.95" customHeight="1">
      <c r="A80" s="337"/>
      <c r="B80" s="354" t="s">
        <v>361</v>
      </c>
      <c r="E80" s="356">
        <f>E56</f>
        <v>0</v>
      </c>
      <c r="H80" s="297"/>
    </row>
    <row r="81" spans="1:15" s="298" customFormat="1" ht="24.95" customHeight="1">
      <c r="A81" s="337"/>
      <c r="B81" s="357" t="s">
        <v>153</v>
      </c>
      <c r="E81" s="415">
        <f>C4</f>
        <v>1</v>
      </c>
      <c r="H81" s="297"/>
    </row>
    <row r="82" spans="1:15" s="298" customFormat="1" ht="24.95" customHeight="1">
      <c r="A82" s="337"/>
      <c r="E82" s="507"/>
    </row>
    <row r="83" spans="1:15" s="325" customFormat="1" ht="24.95" customHeight="1">
      <c r="B83" s="326" t="s">
        <v>71</v>
      </c>
      <c r="E83" s="461"/>
    </row>
    <row r="84" spans="1:15" s="325" customFormat="1" ht="24.95" customHeight="1">
      <c r="B84" s="327" t="s">
        <v>416</v>
      </c>
      <c r="E84" s="456">
        <v>21</v>
      </c>
    </row>
    <row r="85" spans="1:15" s="325" customFormat="1" ht="24.95" customHeight="1">
      <c r="B85" s="328" t="s">
        <v>366</v>
      </c>
      <c r="E85" s="457">
        <v>25</v>
      </c>
    </row>
    <row r="86" spans="1:15" s="325" customFormat="1" ht="24.95" customHeight="1">
      <c r="B86" s="328" t="s">
        <v>75</v>
      </c>
      <c r="E86" s="331">
        <v>6</v>
      </c>
      <c r="F86" s="474" t="s">
        <v>566</v>
      </c>
    </row>
    <row r="87" spans="1:15" s="325" customFormat="1" ht="24.95" customHeight="1">
      <c r="B87" s="328" t="s">
        <v>414</v>
      </c>
      <c r="E87" s="331">
        <f>IF(E84=0," ",(1*E84*10*80%))</f>
        <v>168</v>
      </c>
      <c r="F87" s="325" t="s">
        <v>567</v>
      </c>
    </row>
    <row r="88" spans="1:15" s="325" customFormat="1" ht="24.95" customHeight="1">
      <c r="B88" s="332" t="s">
        <v>415</v>
      </c>
      <c r="E88" s="333">
        <f>IF(E85=0," ",E85*E86/E87)</f>
        <v>0.8928571428571429</v>
      </c>
      <c r="F88" s="325" t="s">
        <v>568</v>
      </c>
    </row>
    <row r="89" spans="1:15" s="298" customFormat="1" ht="24.95" customHeight="1">
      <c r="A89" s="337"/>
      <c r="E89" s="347"/>
    </row>
    <row r="90" spans="1:15" ht="24.95" customHeight="1">
      <c r="B90" s="577"/>
      <c r="C90" s="577"/>
      <c r="D90" s="578"/>
      <c r="E90" s="579"/>
      <c r="F90" s="580"/>
      <c r="G90" s="581"/>
      <c r="J90" s="582"/>
      <c r="K90" s="583"/>
      <c r="L90" s="584"/>
      <c r="M90" s="585"/>
      <c r="N90" s="586"/>
      <c r="O90" s="585"/>
    </row>
    <row r="91" spans="1:15" ht="24.95" customHeight="1">
      <c r="B91" s="577"/>
      <c r="C91" s="577"/>
      <c r="D91" s="578"/>
      <c r="E91" s="578"/>
      <c r="F91" s="580"/>
      <c r="G91" s="581"/>
      <c r="J91" s="582"/>
      <c r="K91" s="583"/>
      <c r="L91" s="584"/>
      <c r="M91" s="585"/>
      <c r="N91" s="586"/>
      <c r="O91" s="585"/>
    </row>
    <row r="92" spans="1:15" ht="24.95" customHeight="1">
      <c r="B92" s="577"/>
      <c r="C92" s="577"/>
      <c r="D92" s="578"/>
      <c r="E92" s="578"/>
      <c r="F92" s="580"/>
      <c r="G92" s="581"/>
      <c r="J92" s="582"/>
      <c r="K92" s="583"/>
      <c r="L92" s="584"/>
      <c r="M92" s="585"/>
      <c r="N92" s="586"/>
      <c r="O92" s="585"/>
    </row>
    <row r="93" spans="1:15" ht="24.95" customHeight="1" thickBot="1">
      <c r="B93" s="577"/>
      <c r="C93" s="577"/>
      <c r="D93" s="587"/>
      <c r="E93" s="588"/>
      <c r="F93" s="589"/>
      <c r="G93" s="589"/>
      <c r="J93" s="582"/>
      <c r="K93" s="583"/>
      <c r="L93" s="584"/>
      <c r="M93" s="585"/>
      <c r="N93" s="586"/>
      <c r="O93" s="585"/>
    </row>
    <row r="94" spans="1:15" s="642" customFormat="1" ht="24.95" customHeight="1" thickBot="1">
      <c r="B94" s="643"/>
      <c r="C94" s="643"/>
      <c r="D94" s="641" t="s">
        <v>722</v>
      </c>
      <c r="E94" s="644">
        <f>E56</f>
        <v>0</v>
      </c>
      <c r="F94" s="645"/>
      <c r="J94" s="646"/>
      <c r="K94" s="646"/>
      <c r="L94" s="646"/>
      <c r="M94" s="647"/>
      <c r="N94" s="648"/>
      <c r="O94" s="649"/>
    </row>
    <row r="95" spans="1:15" s="667" customFormat="1" ht="54.95" customHeight="1">
      <c r="B95" s="664" t="s">
        <v>740</v>
      </c>
      <c r="C95" s="661" t="s">
        <v>738</v>
      </c>
      <c r="D95" s="596" t="s">
        <v>739</v>
      </c>
      <c r="E95" s="658" t="s">
        <v>725</v>
      </c>
      <c r="F95" s="659" t="s">
        <v>726</v>
      </c>
      <c r="J95" s="651"/>
      <c r="K95" s="652"/>
      <c r="L95" s="653"/>
      <c r="M95" s="653"/>
      <c r="N95" s="647"/>
      <c r="O95" s="649"/>
    </row>
    <row r="96" spans="1:15" s="650" customFormat="1" ht="20.100000000000001" customHeight="1">
      <c r="B96" s="663">
        <v>1</v>
      </c>
      <c r="C96" s="662"/>
      <c r="D96" s="639">
        <v>15</v>
      </c>
      <c r="E96" s="660">
        <f t="shared" ref="E96:E106" si="1">IF(C96&gt;0,(1.001843-0.002318474*(E$94)-0.000007775*(E$94^2)-0.000000034*(E$94^3)+0.00574*($C96)+0.00003344*($C96^2)+0.000000086*($C96^3))+(1.313454-0.132674*(D96*1.8+32)+0.002057793*((D96*1.8+32)^2)-0.000002627634*((D96*1.8+32)^3))*0.001,0)</f>
        <v>0</v>
      </c>
      <c r="F96" s="665">
        <f t="shared" ref="F96:F106" si="2">IF(C96&gt;0,-676.67+1286.4*E96-800.47*(E96^2)+190.74*(E96^3),0)</f>
        <v>0</v>
      </c>
      <c r="J96" s="654"/>
      <c r="K96" s="652"/>
      <c r="L96" s="655"/>
      <c r="M96" s="656"/>
      <c r="N96" s="657"/>
      <c r="O96" s="656"/>
    </row>
    <row r="97" spans="2:7" s="650" customFormat="1" ht="20.100000000000001" customHeight="1">
      <c r="B97" s="663">
        <v>2</v>
      </c>
      <c r="C97" s="662"/>
      <c r="D97" s="639">
        <v>15</v>
      </c>
      <c r="E97" s="660">
        <f t="shared" si="1"/>
        <v>0</v>
      </c>
      <c r="F97" s="666">
        <f t="shared" si="2"/>
        <v>0</v>
      </c>
    </row>
    <row r="98" spans="2:7" s="650" customFormat="1" ht="20.100000000000001" customHeight="1">
      <c r="B98" s="663">
        <v>3</v>
      </c>
      <c r="C98" s="662">
        <v>8</v>
      </c>
      <c r="D98" s="639">
        <v>15</v>
      </c>
      <c r="E98" s="660">
        <f t="shared" si="1"/>
        <v>1.0500563965897138</v>
      </c>
      <c r="F98" s="666">
        <f t="shared" si="2"/>
        <v>12.350542564286144</v>
      </c>
    </row>
    <row r="99" spans="2:7" s="650" customFormat="1" ht="20.100000000000001" customHeight="1">
      <c r="B99" s="663">
        <v>4</v>
      </c>
      <c r="C99" s="662"/>
      <c r="D99" s="639">
        <v>15</v>
      </c>
      <c r="E99" s="660">
        <f t="shared" si="1"/>
        <v>0</v>
      </c>
      <c r="F99" s="666">
        <f t="shared" si="2"/>
        <v>0</v>
      </c>
    </row>
    <row r="100" spans="2:7" s="650" customFormat="1" ht="20.100000000000001" customHeight="1">
      <c r="B100" s="663">
        <v>5</v>
      </c>
      <c r="C100" s="662"/>
      <c r="D100" s="639">
        <v>15</v>
      </c>
      <c r="E100" s="660">
        <f t="shared" si="1"/>
        <v>0</v>
      </c>
      <c r="F100" s="666">
        <f t="shared" si="2"/>
        <v>0</v>
      </c>
    </row>
    <row r="101" spans="2:7" s="650" customFormat="1" ht="20.100000000000001" customHeight="1">
      <c r="B101" s="663">
        <v>6</v>
      </c>
      <c r="C101" s="662">
        <v>6.8</v>
      </c>
      <c r="D101" s="639">
        <v>15</v>
      </c>
      <c r="E101" s="660">
        <f t="shared" si="1"/>
        <v>1.042557511341714</v>
      </c>
      <c r="F101" s="666">
        <f t="shared" si="2"/>
        <v>10.567528211085715</v>
      </c>
    </row>
    <row r="102" spans="2:7" s="650" customFormat="1" ht="20.100000000000001" customHeight="1">
      <c r="B102" s="663">
        <v>7</v>
      </c>
      <c r="C102" s="662"/>
      <c r="D102" s="639">
        <v>15</v>
      </c>
      <c r="E102" s="660">
        <f t="shared" si="1"/>
        <v>0</v>
      </c>
      <c r="F102" s="666">
        <f t="shared" si="2"/>
        <v>0</v>
      </c>
    </row>
    <row r="103" spans="2:7" s="650" customFormat="1" ht="20.100000000000001" customHeight="1">
      <c r="B103" s="663">
        <v>8</v>
      </c>
      <c r="C103" s="662"/>
      <c r="D103" s="639">
        <v>15</v>
      </c>
      <c r="E103" s="660">
        <f t="shared" si="1"/>
        <v>0</v>
      </c>
      <c r="F103" s="666">
        <f t="shared" si="2"/>
        <v>0</v>
      </c>
    </row>
    <row r="104" spans="2:7" s="650" customFormat="1" ht="20.100000000000001" customHeight="1">
      <c r="B104" s="663">
        <v>9</v>
      </c>
      <c r="C104" s="662"/>
      <c r="D104" s="639">
        <v>15</v>
      </c>
      <c r="E104" s="660">
        <f t="shared" si="1"/>
        <v>0</v>
      </c>
      <c r="F104" s="666">
        <f t="shared" si="2"/>
        <v>0</v>
      </c>
    </row>
    <row r="105" spans="2:7" s="650" customFormat="1" ht="20.100000000000001" customHeight="1">
      <c r="B105" s="663">
        <v>10</v>
      </c>
      <c r="C105" s="662"/>
      <c r="D105" s="639">
        <v>15</v>
      </c>
      <c r="E105" s="660">
        <f t="shared" si="1"/>
        <v>0</v>
      </c>
      <c r="F105" s="666">
        <f t="shared" si="2"/>
        <v>0</v>
      </c>
    </row>
    <row r="106" spans="2:7" s="650" customFormat="1" ht="20.100000000000001" customHeight="1">
      <c r="B106" s="663">
        <v>11</v>
      </c>
      <c r="C106" s="662"/>
      <c r="D106" s="639">
        <v>15</v>
      </c>
      <c r="E106" s="660">
        <f t="shared" si="1"/>
        <v>0</v>
      </c>
      <c r="F106" s="666">
        <f t="shared" si="2"/>
        <v>0</v>
      </c>
    </row>
    <row r="107" spans="2:7" ht="20.100000000000001" customHeight="1">
      <c r="B107" s="625"/>
      <c r="C107" s="580"/>
      <c r="D107" s="626"/>
      <c r="E107" s="627"/>
      <c r="G107" s="580"/>
    </row>
    <row r="108" spans="2:7" ht="20.100000000000001" customHeight="1">
      <c r="B108" s="629"/>
      <c r="C108" s="628" t="s">
        <v>734</v>
      </c>
      <c r="D108" s="626"/>
      <c r="E108" s="627"/>
      <c r="G108" s="580"/>
    </row>
    <row r="109" spans="2:7" ht="20.100000000000001" customHeight="1">
      <c r="B109" s="629"/>
      <c r="C109" s="630" t="s">
        <v>735</v>
      </c>
      <c r="D109" s="626"/>
      <c r="E109" s="627"/>
      <c r="G109" s="580"/>
    </row>
    <row r="110" spans="2:7" ht="20.100000000000001" customHeight="1">
      <c r="B110" s="628"/>
      <c r="C110" s="630" t="s">
        <v>736</v>
      </c>
      <c r="D110" s="626"/>
      <c r="E110" s="627"/>
      <c r="G110" s="580"/>
    </row>
    <row r="111" spans="2:7" ht="20.100000000000001" customHeight="1">
      <c r="B111" s="625"/>
      <c r="C111" s="630" t="s">
        <v>737</v>
      </c>
      <c r="D111" s="626"/>
      <c r="E111" s="627"/>
      <c r="G111" s="580"/>
    </row>
    <row r="112" spans="2:7" ht="20.100000000000001" customHeight="1"/>
    <row r="113" spans="2:7" ht="20.100000000000001" customHeight="1">
      <c r="D113" s="631"/>
    </row>
    <row r="114" spans="2:7" ht="20.100000000000001" customHeight="1"/>
    <row r="115" spans="2:7" ht="20.100000000000001" customHeight="1">
      <c r="D115" s="632"/>
    </row>
    <row r="116" spans="2:7" ht="20.100000000000001" customHeight="1"/>
    <row r="117" spans="2:7" ht="20.100000000000001" customHeight="1">
      <c r="D117" s="633"/>
    </row>
    <row r="118" spans="2:7" s="626" customFormat="1" ht="20.100000000000001" customHeight="1">
      <c r="B118" s="624"/>
      <c r="C118" s="625"/>
      <c r="D118" s="580"/>
      <c r="F118" s="627"/>
      <c r="G118" s="627"/>
    </row>
    <row r="119" spans="2:7" s="626" customFormat="1" ht="20.100000000000001" customHeight="1">
      <c r="B119" s="624"/>
      <c r="C119" s="625"/>
      <c r="D119" s="633"/>
      <c r="F119" s="627"/>
      <c r="G119" s="627"/>
    </row>
    <row r="120" spans="2:7" s="626" customFormat="1" ht="20.100000000000001" customHeight="1">
      <c r="B120" s="624"/>
      <c r="C120" s="625"/>
      <c r="D120" s="580"/>
      <c r="F120" s="627"/>
      <c r="G120" s="627"/>
    </row>
    <row r="121" spans="2:7" s="626" customFormat="1" ht="20.100000000000001" customHeight="1">
      <c r="B121" s="624"/>
      <c r="C121" s="625"/>
      <c r="D121" s="633"/>
      <c r="F121" s="627"/>
      <c r="G121" s="627"/>
    </row>
    <row r="122" spans="2:7" s="626" customFormat="1" ht="20.100000000000001" customHeight="1">
      <c r="B122" s="624"/>
      <c r="C122" s="625"/>
      <c r="D122" s="580"/>
      <c r="F122" s="627"/>
      <c r="G122" s="627"/>
    </row>
    <row r="123" spans="2:7" s="626" customFormat="1" ht="20.100000000000001" customHeight="1">
      <c r="B123" s="624"/>
      <c r="C123" s="625"/>
      <c r="D123" s="580"/>
      <c r="F123" s="627"/>
      <c r="G123" s="627"/>
    </row>
    <row r="124" spans="2:7" s="626" customFormat="1" ht="20.100000000000001" customHeight="1">
      <c r="B124" s="624"/>
      <c r="C124" s="625"/>
      <c r="D124" s="580"/>
      <c r="F124" s="627"/>
      <c r="G124" s="627"/>
    </row>
    <row r="125" spans="2:7" s="626" customFormat="1" ht="20.100000000000001" customHeight="1">
      <c r="B125" s="624"/>
      <c r="C125" s="625"/>
      <c r="D125" s="580"/>
      <c r="F125" s="627"/>
      <c r="G125" s="627"/>
    </row>
    <row r="126" spans="2:7" s="626" customFormat="1" ht="20.100000000000001" customHeight="1">
      <c r="B126" s="624"/>
      <c r="C126" s="625"/>
      <c r="D126" s="580"/>
      <c r="F126" s="627"/>
      <c r="G126" s="627"/>
    </row>
    <row r="127" spans="2:7" s="626" customFormat="1" ht="20.100000000000001" customHeight="1">
      <c r="B127" s="624"/>
      <c r="C127" s="625"/>
      <c r="D127" s="580"/>
      <c r="F127" s="627"/>
      <c r="G127" s="627"/>
    </row>
    <row r="128" spans="2:7" s="626" customFormat="1" ht="20.100000000000001" customHeight="1">
      <c r="B128" s="624"/>
      <c r="C128" s="625"/>
      <c r="D128" s="580"/>
      <c r="F128" s="627"/>
      <c r="G128" s="627"/>
    </row>
    <row r="129" spans="2:7" s="626" customFormat="1" ht="20.100000000000001" customHeight="1">
      <c r="B129" s="624"/>
      <c r="C129" s="625"/>
      <c r="D129" s="580"/>
      <c r="F129" s="627"/>
      <c r="G129" s="627"/>
    </row>
    <row r="130" spans="2:7" s="626" customFormat="1" ht="20.100000000000001" customHeight="1">
      <c r="B130" s="624"/>
      <c r="C130" s="625"/>
      <c r="D130" s="580"/>
      <c r="F130" s="627"/>
      <c r="G130" s="627"/>
    </row>
    <row r="131" spans="2:7" s="626" customFormat="1" ht="20.100000000000001" customHeight="1">
      <c r="B131" s="624"/>
      <c r="C131" s="625"/>
      <c r="D131" s="580"/>
      <c r="F131" s="627"/>
      <c r="G131" s="627"/>
    </row>
    <row r="132" spans="2:7" s="626" customFormat="1" ht="20.100000000000001" customHeight="1">
      <c r="B132" s="624"/>
      <c r="C132" s="625"/>
      <c r="D132" s="580"/>
      <c r="F132" s="627"/>
      <c r="G132" s="627"/>
    </row>
    <row r="133" spans="2:7" s="626" customFormat="1" ht="20.100000000000001" customHeight="1">
      <c r="B133" s="624"/>
      <c r="C133" s="625"/>
      <c r="D133" s="580"/>
      <c r="F133" s="627"/>
      <c r="G133" s="627"/>
    </row>
    <row r="134" spans="2:7" ht="20.100000000000001" customHeight="1"/>
    <row r="135" spans="2:7" ht="20.100000000000001" customHeight="1"/>
    <row r="136" spans="2:7" ht="20.100000000000001" customHeight="1"/>
    <row r="137" spans="2:7" ht="20.100000000000001" customHeight="1"/>
    <row r="138" spans="2:7" ht="20.100000000000001" customHeight="1"/>
    <row r="139" spans="2:7" ht="20.100000000000001" customHeight="1"/>
    <row r="140" spans="2:7" ht="20.100000000000001" customHeight="1"/>
    <row r="141" spans="2:7" ht="20.100000000000001" customHeight="1"/>
    <row r="142" spans="2:7" ht="20.100000000000001" customHeight="1"/>
    <row r="143" spans="2:7" ht="20.100000000000001" customHeight="1"/>
    <row r="144" spans="2:7"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sheetData>
  <mergeCells count="1">
    <mergeCell ref="B61:D61"/>
  </mergeCells>
  <conditionalFormatting sqref="E61">
    <cfRule type="expression" dxfId="1" priority="3">
      <formula>#REF!=0</formula>
    </cfRule>
  </conditionalFormatting>
  <conditionalFormatting sqref="E67:E68 E82">
    <cfRule type="expression" dxfId="0" priority="2">
      <formula>#REF!=0</formula>
    </cfRule>
  </conditionalFormatting>
  <hyperlinks>
    <hyperlink ref="B74" r:id="rId1"/>
    <hyperlink ref="B73" r:id="rId2"/>
    <hyperlink ref="B24" r:id="rId3" display="Капачки"/>
    <hyperlink ref="B25" r:id="rId4"/>
    <hyperlink ref="B11" r:id="rId5"/>
    <hyperlink ref="B13" r:id="rId6"/>
    <hyperlink ref="B50" r:id="rId7" display="Жатец       10      (ароматен; чешки; алфа 3,4%)"/>
    <hyperlink ref="B19" r:id="rId8" display="Aurora"/>
    <hyperlink ref="B36" r:id="rId9" display="Размесване на  38°С - Протеаза на 55°С"/>
    <hyperlink ref="B14" r:id="rId10"/>
    <hyperlink ref="B12" r:id="rId11"/>
    <hyperlink ref="B15" r:id="rId12"/>
    <hyperlink ref="B22" r:id="rId13"/>
    <hyperlink ref="B2" r:id="rId14"/>
    <hyperlink ref="B51" r:id="rId15" display="Жатец       10      (ароматен; чешки; алфа 3,4%)"/>
  </hyperlinks>
  <printOptions horizontalCentered="1"/>
  <pageMargins left="0.15748031496062992" right="0.15748031496062992" top="0.15748031496062992" bottom="0.15748031496062992" header="0" footer="0.51181102362204722"/>
  <pageSetup firstPageNumber="0" orientation="portrait" r:id="rId16"/>
  <headerFooter alignWithMargins="0"/>
  <legacyDrawing r:id="rId17"/>
</worksheet>
</file>

<file path=xl/worksheets/sheet2.xml><?xml version="1.0" encoding="utf-8"?>
<worksheet xmlns="http://schemas.openxmlformats.org/spreadsheetml/2006/main" xmlns:r="http://schemas.openxmlformats.org/officeDocument/2006/relationships">
  <dimension ref="B1:D147"/>
  <sheetViews>
    <sheetView topLeftCell="B131" workbookViewId="0">
      <selection activeCell="B137" sqref="B137"/>
    </sheetView>
  </sheetViews>
  <sheetFormatPr defaultRowHeight="44.1" customHeight="1"/>
  <cols>
    <col min="1" max="1" width="6" style="48" customWidth="1"/>
    <col min="2" max="2" width="118.85546875" style="48" customWidth="1"/>
    <col min="3" max="16384" width="9.140625" style="48"/>
  </cols>
  <sheetData>
    <row r="1" spans="2:2" ht="164.25" customHeight="1">
      <c r="B1" s="47" t="s">
        <v>222</v>
      </c>
    </row>
    <row r="2" spans="2:2" ht="262.5" customHeight="1">
      <c r="B2" s="49" t="s">
        <v>24</v>
      </c>
    </row>
    <row r="3" spans="2:2" s="50" customFormat="1" ht="121.5" customHeight="1">
      <c r="B3" s="51" t="s">
        <v>28</v>
      </c>
    </row>
    <row r="4" spans="2:2" s="50" customFormat="1" ht="44.1" customHeight="1">
      <c r="B4" s="51" t="s">
        <v>68</v>
      </c>
    </row>
    <row r="5" spans="2:2" s="50" customFormat="1" ht="44.1" customHeight="1">
      <c r="B5" s="51"/>
    </row>
    <row r="6" spans="2:2" ht="44.1" customHeight="1">
      <c r="B6" s="49" t="s">
        <v>69</v>
      </c>
    </row>
    <row r="7" spans="2:2" ht="44.1" customHeight="1">
      <c r="B7" s="49"/>
    </row>
    <row r="8" spans="2:2" ht="44.1" customHeight="1">
      <c r="B8" s="49" t="s">
        <v>34</v>
      </c>
    </row>
    <row r="9" spans="2:2" ht="44.1" customHeight="1">
      <c r="B9" s="49" t="s">
        <v>35</v>
      </c>
    </row>
    <row r="10" spans="2:2" ht="44.1" customHeight="1">
      <c r="B10" s="49"/>
    </row>
    <row r="11" spans="2:2" ht="87.75" customHeight="1">
      <c r="B11" s="49" t="s">
        <v>36</v>
      </c>
    </row>
    <row r="13" spans="2:2" ht="44.1" customHeight="1">
      <c r="B13" s="49" t="s">
        <v>107</v>
      </c>
    </row>
    <row r="15" spans="2:2" ht="44.1" customHeight="1">
      <c r="B15" s="49" t="s">
        <v>108</v>
      </c>
    </row>
    <row r="17" spans="2:2" ht="61.5" customHeight="1">
      <c r="B17" s="49" t="s">
        <v>109</v>
      </c>
    </row>
    <row r="19" spans="2:2" ht="146.25" customHeight="1">
      <c r="B19" s="49" t="s">
        <v>111</v>
      </c>
    </row>
    <row r="21" spans="2:2" ht="189" customHeight="1">
      <c r="B21" s="49" t="s">
        <v>112</v>
      </c>
    </row>
    <row r="23" spans="2:2" ht="44.1" customHeight="1">
      <c r="B23" s="49" t="s">
        <v>119</v>
      </c>
    </row>
    <row r="25" spans="2:2" ht="44.1" customHeight="1">
      <c r="B25" s="49" t="s">
        <v>120</v>
      </c>
    </row>
    <row r="27" spans="2:2" ht="366" customHeight="1">
      <c r="B27" s="49" t="s">
        <v>121</v>
      </c>
    </row>
    <row r="29" spans="2:2" ht="87" customHeight="1">
      <c r="B29" s="49" t="s">
        <v>146</v>
      </c>
    </row>
    <row r="31" spans="2:2" ht="95.25" customHeight="1">
      <c r="B31" s="49" t="s">
        <v>147</v>
      </c>
    </row>
    <row r="33" spans="2:2" ht="114" customHeight="1">
      <c r="B33" s="49" t="s">
        <v>325</v>
      </c>
    </row>
    <row r="35" spans="2:2" ht="283.5" customHeight="1">
      <c r="B35" s="49" t="s">
        <v>326</v>
      </c>
    </row>
    <row r="36" spans="2:2" ht="44.1" customHeight="1">
      <c r="B36" s="5" t="s">
        <v>0</v>
      </c>
    </row>
    <row r="37" spans="2:2" ht="44.1" customHeight="1">
      <c r="B37" s="5" t="s">
        <v>327</v>
      </c>
    </row>
    <row r="38" spans="2:2" ht="44.1" customHeight="1">
      <c r="B38" s="5" t="s">
        <v>19</v>
      </c>
    </row>
    <row r="39" spans="2:2" ht="44.1" customHeight="1">
      <c r="B39" s="5" t="s">
        <v>18</v>
      </c>
    </row>
    <row r="40" spans="2:2" ht="44.1" customHeight="1">
      <c r="B40" s="5"/>
    </row>
    <row r="41" spans="2:2" ht="44.1" customHeight="1">
      <c r="B41" s="5" t="s">
        <v>129</v>
      </c>
    </row>
    <row r="42" spans="2:2" ht="44.1" customHeight="1">
      <c r="B42" s="5" t="s">
        <v>130</v>
      </c>
    </row>
    <row r="43" spans="2:2" ht="44.1" customHeight="1">
      <c r="B43" s="5"/>
    </row>
    <row r="44" spans="2:2" ht="44.1" customHeight="1">
      <c r="B44" s="5" t="s">
        <v>1</v>
      </c>
    </row>
    <row r="45" spans="2:2" ht="44.1" customHeight="1">
      <c r="B45" s="5"/>
    </row>
    <row r="46" spans="2:2" ht="44.1" customHeight="1">
      <c r="B46" s="5" t="s">
        <v>17</v>
      </c>
    </row>
    <row r="47" spans="2:2" ht="44.1" customHeight="1">
      <c r="B47" s="5"/>
    </row>
    <row r="48" spans="2:2" ht="44.1" customHeight="1">
      <c r="B48" s="5" t="s">
        <v>16</v>
      </c>
    </row>
    <row r="49" spans="2:2" ht="44.1" customHeight="1">
      <c r="B49" s="5"/>
    </row>
    <row r="50" spans="2:2" ht="44.1" customHeight="1">
      <c r="B50" s="5"/>
    </row>
    <row r="51" spans="2:2" ht="44.1" customHeight="1">
      <c r="B51" s="7" t="s">
        <v>21</v>
      </c>
    </row>
    <row r="52" spans="2:2" ht="44.1" customHeight="1">
      <c r="B52" s="5"/>
    </row>
    <row r="53" spans="2:2" ht="136.5" customHeight="1">
      <c r="B53" s="5" t="s">
        <v>328</v>
      </c>
    </row>
    <row r="54" spans="2:2" ht="44.1" customHeight="1">
      <c r="B54" s="5"/>
    </row>
    <row r="55" spans="2:2" ht="44.1" customHeight="1">
      <c r="B55" s="5" t="s">
        <v>357</v>
      </c>
    </row>
    <row r="56" spans="2:2" ht="44.1" customHeight="1">
      <c r="B56" s="5"/>
    </row>
    <row r="57" spans="2:2" ht="44.1" customHeight="1">
      <c r="B57" s="559" t="s">
        <v>20</v>
      </c>
    </row>
    <row r="58" spans="2:2" ht="44.1" customHeight="1">
      <c r="B58" s="5"/>
    </row>
    <row r="59" spans="2:2" ht="44.1" customHeight="1">
      <c r="B59" s="5"/>
    </row>
    <row r="60" spans="2:2" ht="44.1" customHeight="1">
      <c r="B60" s="5" t="s">
        <v>322</v>
      </c>
    </row>
    <row r="61" spans="2:2" ht="44.1" customHeight="1">
      <c r="B61" s="5"/>
    </row>
    <row r="62" spans="2:2" ht="44.1" customHeight="1">
      <c r="B62" s="5" t="s">
        <v>323</v>
      </c>
    </row>
    <row r="63" spans="2:2" ht="44.1" customHeight="1">
      <c r="B63" s="5"/>
    </row>
    <row r="64" spans="2:2" ht="44.1" customHeight="1">
      <c r="B64" s="5" t="s">
        <v>329</v>
      </c>
    </row>
    <row r="65" spans="2:2" ht="44.1" customHeight="1">
      <c r="B65" s="5"/>
    </row>
    <row r="66" spans="2:2" ht="44.1" customHeight="1">
      <c r="B66" s="5" t="s">
        <v>330</v>
      </c>
    </row>
    <row r="67" spans="2:2" ht="44.1" customHeight="1">
      <c r="B67" s="5"/>
    </row>
    <row r="68" spans="2:2" ht="44.1" customHeight="1">
      <c r="B68" s="5" t="s">
        <v>331</v>
      </c>
    </row>
    <row r="69" spans="2:2" ht="44.1" customHeight="1">
      <c r="B69" s="5"/>
    </row>
    <row r="70" spans="2:2" ht="44.1" customHeight="1">
      <c r="B70" s="5" t="s">
        <v>332</v>
      </c>
    </row>
    <row r="71" spans="2:2" ht="44.1" customHeight="1">
      <c r="B71" s="5"/>
    </row>
    <row r="72" spans="2:2" ht="44.1" customHeight="1">
      <c r="B72" s="5" t="s">
        <v>333</v>
      </c>
    </row>
    <row r="73" spans="2:2" ht="44.1" customHeight="1">
      <c r="B73" s="5"/>
    </row>
    <row r="74" spans="2:2" ht="44.1" customHeight="1">
      <c r="B74" s="5" t="s">
        <v>334</v>
      </c>
    </row>
    <row r="75" spans="2:2" ht="44.1" customHeight="1">
      <c r="B75" s="5"/>
    </row>
    <row r="76" spans="2:2" ht="44.1" customHeight="1">
      <c r="B76" s="5" t="s">
        <v>341</v>
      </c>
    </row>
    <row r="77" spans="2:2" ht="44.1" customHeight="1">
      <c r="B77" s="5"/>
    </row>
    <row r="78" spans="2:2" ht="44.1" customHeight="1">
      <c r="B78" s="5" t="s">
        <v>345</v>
      </c>
    </row>
    <row r="79" spans="2:2" ht="44.1" customHeight="1">
      <c r="B79" s="5"/>
    </row>
    <row r="80" spans="2:2" ht="44.1" customHeight="1">
      <c r="B80" s="5" t="s">
        <v>358</v>
      </c>
    </row>
    <row r="81" spans="2:4" ht="44.1" customHeight="1">
      <c r="B81" s="5"/>
    </row>
    <row r="82" spans="2:4" ht="44.1" customHeight="1">
      <c r="B82" s="232" t="s">
        <v>359</v>
      </c>
    </row>
    <row r="83" spans="2:4" ht="44.1" customHeight="1">
      <c r="B83" s="232" t="s">
        <v>360</v>
      </c>
    </row>
    <row r="84" spans="2:4" ht="44.1" customHeight="1">
      <c r="B84" s="5"/>
    </row>
    <row r="85" spans="2:4" ht="44.1" customHeight="1">
      <c r="B85" s="169" t="s">
        <v>362</v>
      </c>
      <c r="C85" s="235" t="e">
        <f>(C86/C87)</f>
        <v>#DIV/0!</v>
      </c>
      <c r="D85" s="35"/>
    </row>
    <row r="86" spans="2:4" ht="44.1" customHeight="1">
      <c r="B86" s="233" t="s">
        <v>363</v>
      </c>
      <c r="C86" s="236">
        <f>'в8 Компромат'!F80</f>
        <v>0.67666666666666675</v>
      </c>
      <c r="D86" s="35"/>
    </row>
    <row r="87" spans="2:4" ht="44.1" customHeight="1">
      <c r="B87" s="234" t="s">
        <v>364</v>
      </c>
      <c r="C87" s="237"/>
      <c r="D87" s="35"/>
    </row>
    <row r="88" spans="2:4" ht="44.1" customHeight="1">
      <c r="B88" s="5"/>
    </row>
    <row r="89" spans="2:4" ht="44.1" customHeight="1">
      <c r="B89" s="5" t="s">
        <v>377</v>
      </c>
    </row>
    <row r="90" spans="2:4" ht="44.1" customHeight="1">
      <c r="B90" s="5"/>
    </row>
    <row r="91" spans="2:4" ht="44.1" customHeight="1">
      <c r="B91" s="5" t="s">
        <v>378</v>
      </c>
    </row>
    <row r="92" spans="2:4" ht="44.1" customHeight="1">
      <c r="B92" s="5"/>
    </row>
    <row r="93" spans="2:4" ht="44.1" customHeight="1">
      <c r="B93" s="5" t="s">
        <v>379</v>
      </c>
    </row>
    <row r="94" spans="2:4" ht="44.1" customHeight="1">
      <c r="B94" s="5"/>
    </row>
    <row r="95" spans="2:4" ht="44.1" customHeight="1">
      <c r="B95" s="49" t="s">
        <v>381</v>
      </c>
    </row>
    <row r="97" spans="2:2" ht="44.1" customHeight="1">
      <c r="B97" s="49" t="s">
        <v>388</v>
      </c>
    </row>
    <row r="99" spans="2:2" ht="44.1" customHeight="1">
      <c r="B99" s="49" t="s">
        <v>389</v>
      </c>
    </row>
    <row r="101" spans="2:2" ht="44.1" customHeight="1">
      <c r="B101" s="49" t="s">
        <v>393</v>
      </c>
    </row>
    <row r="103" spans="2:2" ht="44.1" customHeight="1">
      <c r="B103" s="49" t="s">
        <v>394</v>
      </c>
    </row>
    <row r="105" spans="2:2" ht="44.1" customHeight="1">
      <c r="B105" s="49" t="s">
        <v>397</v>
      </c>
    </row>
    <row r="107" spans="2:2" ht="44.1" customHeight="1">
      <c r="B107" s="48" t="s">
        <v>398</v>
      </c>
    </row>
    <row r="108" spans="2:2" ht="44.1" customHeight="1">
      <c r="B108" s="48" t="s">
        <v>404</v>
      </c>
    </row>
    <row r="109" spans="2:2" ht="44.1" customHeight="1">
      <c r="B109" s="49" t="s">
        <v>418</v>
      </c>
    </row>
    <row r="111" spans="2:2" ht="44.1" customHeight="1">
      <c r="B111" s="49" t="s">
        <v>419</v>
      </c>
    </row>
    <row r="113" spans="2:2" ht="44.1" customHeight="1">
      <c r="B113" s="377" t="s">
        <v>421</v>
      </c>
    </row>
    <row r="115" spans="2:2" ht="44.1" customHeight="1">
      <c r="B115" s="48" t="s">
        <v>426</v>
      </c>
    </row>
    <row r="116" spans="2:2" ht="44.1" customHeight="1">
      <c r="B116" s="48" t="s">
        <v>427</v>
      </c>
    </row>
    <row r="117" spans="2:2" ht="44.1" customHeight="1">
      <c r="B117" s="49" t="s">
        <v>449</v>
      </c>
    </row>
    <row r="119" spans="2:2" ht="44.1" customHeight="1">
      <c r="B119" s="49" t="s">
        <v>450</v>
      </c>
    </row>
    <row r="121" spans="2:2" ht="44.1" customHeight="1">
      <c r="B121" s="49" t="s">
        <v>455</v>
      </c>
    </row>
    <row r="123" spans="2:2" ht="44.1" customHeight="1">
      <c r="B123" s="48" t="s">
        <v>456</v>
      </c>
    </row>
    <row r="125" spans="2:2" ht="44.1" customHeight="1">
      <c r="B125" s="49" t="s">
        <v>499</v>
      </c>
    </row>
    <row r="127" spans="2:2" ht="44.1" customHeight="1">
      <c r="B127" s="49" t="s">
        <v>502</v>
      </c>
    </row>
    <row r="129" spans="2:4" ht="44.1" customHeight="1">
      <c r="B129" s="49" t="s">
        <v>559</v>
      </c>
    </row>
    <row r="131" spans="2:4" ht="44.1" customHeight="1">
      <c r="B131" s="49" t="s">
        <v>609</v>
      </c>
    </row>
    <row r="133" spans="2:4" ht="44.1" customHeight="1">
      <c r="B133" s="48" t="s">
        <v>633</v>
      </c>
    </row>
    <row r="134" spans="2:4" ht="44.1" customHeight="1">
      <c r="B134" s="544" t="s">
        <v>647</v>
      </c>
    </row>
    <row r="135" spans="2:4" ht="44.1" customHeight="1">
      <c r="B135"/>
      <c r="C135"/>
      <c r="D135"/>
    </row>
    <row r="136" spans="2:4" ht="44.1" customHeight="1">
      <c r="B136" s="564" t="s">
        <v>688</v>
      </c>
      <c r="C136"/>
      <c r="D136"/>
    </row>
    <row r="137" spans="2:4" ht="44.1" customHeight="1">
      <c r="B137"/>
      <c r="C137"/>
      <c r="D137"/>
    </row>
    <row r="138" spans="2:4" ht="44.1" customHeight="1">
      <c r="B138"/>
      <c r="C138"/>
      <c r="D138"/>
    </row>
    <row r="139" spans="2:4" ht="44.1" customHeight="1">
      <c r="B139"/>
      <c r="C139"/>
      <c r="D139"/>
    </row>
    <row r="140" spans="2:4" ht="44.1" customHeight="1">
      <c r="B140"/>
      <c r="C140"/>
      <c r="D140"/>
    </row>
    <row r="141" spans="2:4" ht="44.1" customHeight="1">
      <c r="B141"/>
      <c r="C141"/>
      <c r="D141"/>
    </row>
    <row r="142" spans="2:4" ht="44.1" customHeight="1">
      <c r="B142"/>
      <c r="C142"/>
      <c r="D142"/>
    </row>
    <row r="143" spans="2:4" ht="44.1" customHeight="1">
      <c r="B143"/>
      <c r="C143"/>
      <c r="D143"/>
    </row>
    <row r="144" spans="2:4" ht="44.1" customHeight="1">
      <c r="B144"/>
      <c r="C144"/>
      <c r="D144"/>
    </row>
    <row r="145" spans="2:4" ht="44.1" customHeight="1">
      <c r="B145" t="s">
        <v>632</v>
      </c>
      <c r="C145"/>
      <c r="D145"/>
    </row>
    <row r="147" spans="2:4" ht="44.1" customHeight="1">
      <c r="B147" s="547" t="s">
        <v>643</v>
      </c>
    </row>
  </sheetData>
  <hyperlinks>
    <hyperlink ref="B113" r:id="rId1" location="p7564" display="http://forum.beer-bg.com/viewtopic.php?f=24&amp;t=2963&amp;p=7564&amp;hilit=%D0%BA%D0%B8%D1%81%D0%B5%D0%BB%D0%B8%D0%BD%D0%BD%D0%BE%D1%81%D1%82 - p7564"/>
    <hyperlink ref="B147"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O85"/>
  <sheetViews>
    <sheetView topLeftCell="A3" workbookViewId="0">
      <selection activeCell="J25" sqref="J25"/>
    </sheetView>
  </sheetViews>
  <sheetFormatPr defaultColWidth="8.85546875" defaultRowHeight="12.75"/>
  <cols>
    <col min="1" max="1" width="37.42578125" style="580" customWidth="1"/>
    <col min="2" max="2" width="12.7109375" style="624" customWidth="1"/>
    <col min="3" max="3" width="12.7109375" style="625" customWidth="1"/>
    <col min="4" max="4" width="22.42578125" style="580" customWidth="1"/>
    <col min="5" max="5" width="19.42578125" style="626" customWidth="1"/>
    <col min="6" max="6" width="18.7109375" style="627" customWidth="1"/>
    <col min="7" max="7" width="17.7109375" style="627" customWidth="1"/>
    <col min="8" max="8" width="36.85546875" style="580" customWidth="1"/>
    <col min="9" max="11" width="8.85546875" style="580"/>
    <col min="12" max="12" width="14.140625" style="580" customWidth="1"/>
    <col min="13" max="16384" width="8.85546875" style="580"/>
  </cols>
  <sheetData>
    <row r="1" spans="2:15" ht="19.5" customHeight="1">
      <c r="B1" s="577"/>
      <c r="C1" s="577"/>
      <c r="D1" s="578" t="s">
        <v>717</v>
      </c>
      <c r="E1" s="579"/>
      <c r="F1" s="580"/>
      <c r="G1" s="581"/>
      <c r="J1" s="582"/>
      <c r="K1" s="583"/>
      <c r="L1" s="584"/>
      <c r="M1" s="585"/>
      <c r="N1" s="586"/>
      <c r="O1" s="585"/>
    </row>
    <row r="2" spans="2:15" ht="15.75">
      <c r="B2" s="577"/>
      <c r="C2" s="577"/>
      <c r="D2" s="578" t="s">
        <v>718</v>
      </c>
      <c r="E2" s="578"/>
      <c r="F2" s="580"/>
      <c r="G2" s="581"/>
      <c r="J2" s="582"/>
      <c r="K2" s="583"/>
      <c r="L2" s="584"/>
      <c r="M2" s="585"/>
      <c r="N2" s="586"/>
      <c r="O2" s="585"/>
    </row>
    <row r="3" spans="2:15" ht="15.75">
      <c r="B3" s="577"/>
      <c r="C3" s="577"/>
      <c r="D3" s="578" t="s">
        <v>719</v>
      </c>
      <c r="E3" s="578"/>
      <c r="F3" s="580"/>
      <c r="G3" s="581"/>
      <c r="J3" s="582"/>
      <c r="K3" s="583"/>
      <c r="L3" s="584"/>
      <c r="M3" s="585"/>
      <c r="N3" s="586"/>
      <c r="O3" s="585"/>
    </row>
    <row r="4" spans="2:15" ht="15.75" customHeight="1">
      <c r="B4" s="577"/>
      <c r="C4" s="577"/>
      <c r="D4" s="579" t="s">
        <v>720</v>
      </c>
      <c r="E4" s="579"/>
      <c r="F4" s="580"/>
      <c r="G4" s="581"/>
      <c r="J4" s="582"/>
      <c r="K4" s="583"/>
      <c r="L4" s="584"/>
      <c r="M4" s="585"/>
      <c r="N4" s="586"/>
      <c r="O4" s="585"/>
    </row>
    <row r="5" spans="2:15" ht="15.75">
      <c r="B5" s="577"/>
      <c r="C5" s="577"/>
      <c r="D5" s="578" t="s">
        <v>721</v>
      </c>
      <c r="E5" s="578"/>
      <c r="F5" s="580"/>
      <c r="G5" s="581"/>
      <c r="J5" s="582"/>
      <c r="K5" s="583"/>
      <c r="L5" s="584"/>
      <c r="M5" s="585"/>
      <c r="N5" s="586"/>
      <c r="O5" s="585"/>
    </row>
    <row r="6" spans="2:15" ht="15.75">
      <c r="B6" s="577"/>
      <c r="C6" s="577"/>
      <c r="D6" s="578"/>
      <c r="E6" s="578"/>
      <c r="F6" s="580"/>
      <c r="G6" s="581"/>
      <c r="J6" s="582"/>
      <c r="K6" s="583"/>
      <c r="L6" s="584"/>
      <c r="M6" s="585"/>
      <c r="N6" s="586"/>
      <c r="O6" s="585"/>
    </row>
    <row r="7" spans="2:15" ht="16.5" thickBot="1">
      <c r="B7" s="577"/>
      <c r="C7" s="577"/>
      <c r="D7" s="587"/>
      <c r="E7" s="588"/>
      <c r="F7" s="589"/>
      <c r="G7" s="589"/>
      <c r="J7" s="582"/>
      <c r="K7" s="583"/>
      <c r="L7" s="584"/>
      <c r="M7" s="585"/>
      <c r="N7" s="586"/>
      <c r="O7" s="585"/>
    </row>
    <row r="8" spans="2:15" s="592" customFormat="1" ht="26.1" customHeight="1" thickBot="1">
      <c r="C8" s="634"/>
      <c r="D8" s="634"/>
      <c r="E8" s="638" t="s">
        <v>722</v>
      </c>
      <c r="F8" s="590">
        <v>14.5</v>
      </c>
      <c r="G8" s="591"/>
      <c r="J8" s="635"/>
      <c r="K8" s="635"/>
      <c r="L8" s="635"/>
      <c r="M8" s="593"/>
      <c r="N8" s="594"/>
      <c r="O8" s="585"/>
    </row>
    <row r="9" spans="2:15" ht="66" customHeight="1">
      <c r="B9" s="636"/>
      <c r="C9" s="637"/>
      <c r="D9" s="595" t="s">
        <v>723</v>
      </c>
      <c r="E9" s="596" t="s">
        <v>724</v>
      </c>
      <c r="F9" s="597" t="s">
        <v>725</v>
      </c>
      <c r="G9" s="598" t="s">
        <v>726</v>
      </c>
      <c r="H9" s="599" t="s">
        <v>727</v>
      </c>
      <c r="J9" s="582"/>
      <c r="K9" s="583"/>
      <c r="L9" s="600"/>
      <c r="M9" s="600"/>
      <c r="N9" s="593"/>
      <c r="O9" s="585"/>
    </row>
    <row r="10" spans="2:15" ht="66" customHeight="1">
      <c r="B10" s="601" t="s">
        <v>728</v>
      </c>
      <c r="C10" s="602" t="s">
        <v>729</v>
      </c>
      <c r="D10" s="603" t="s">
        <v>730</v>
      </c>
      <c r="E10" s="604" t="s">
        <v>731</v>
      </c>
      <c r="F10" s="605" t="s">
        <v>732</v>
      </c>
      <c r="G10" s="606" t="s">
        <v>732</v>
      </c>
      <c r="H10" s="607" t="s">
        <v>733</v>
      </c>
      <c r="J10" s="582"/>
      <c r="K10" s="583"/>
      <c r="L10" s="600"/>
      <c r="M10" s="600"/>
      <c r="N10" s="593"/>
      <c r="O10" s="585"/>
    </row>
    <row r="11" spans="2:15" ht="20.100000000000001" customHeight="1">
      <c r="B11" s="608"/>
      <c r="C11" s="609"/>
      <c r="D11" s="610">
        <v>6.8</v>
      </c>
      <c r="E11" s="611">
        <v>15</v>
      </c>
      <c r="F11" s="612">
        <f t="shared" ref="F11:F21" si="0">IF(D11&gt;0,(1.001843-0.002318474*(F$8)-0.000007775*(F$8^2)-0.000000034*(F$8^3)+0.00574*($D11)+0.00003344*($D11^2)+0.000000086*($D11^3))+(1.313454-0.132674*(E11*1.8+32)+0.002057793*((E11*1.8+32)^2)-0.000002627634*((E11*1.8+32)^3))*0.001,0)</f>
        <v>1.0072012913417141</v>
      </c>
      <c r="G11" s="640">
        <f t="shared" ref="G11:G21" si="1">IF(D11&gt;0,-676.67+1286.4*F11-800.47*(F11^2)+190.74*(F11^3),0)</f>
        <v>1.8438632598071081</v>
      </c>
      <c r="H11" s="614"/>
      <c r="J11" s="615"/>
      <c r="K11" s="616"/>
      <c r="L11" s="617"/>
      <c r="M11" s="618"/>
      <c r="N11" s="619"/>
      <c r="O11" s="618"/>
    </row>
    <row r="12" spans="2:15" ht="20.100000000000001" customHeight="1">
      <c r="B12" s="620"/>
      <c r="C12" s="621"/>
      <c r="D12" s="610"/>
      <c r="E12" s="611">
        <v>15</v>
      </c>
      <c r="F12" s="612">
        <f t="shared" si="0"/>
        <v>0</v>
      </c>
      <c r="G12" s="613">
        <f t="shared" si="1"/>
        <v>0</v>
      </c>
      <c r="H12" s="614"/>
    </row>
    <row r="13" spans="2:15" ht="20.100000000000001" customHeight="1">
      <c r="B13" s="620"/>
      <c r="C13" s="621"/>
      <c r="D13" s="610"/>
      <c r="E13" s="611">
        <v>15</v>
      </c>
      <c r="F13" s="612">
        <f t="shared" si="0"/>
        <v>0</v>
      </c>
      <c r="G13" s="613">
        <f t="shared" si="1"/>
        <v>0</v>
      </c>
      <c r="H13" s="622"/>
    </row>
    <row r="14" spans="2:15" ht="20.100000000000001" customHeight="1">
      <c r="B14" s="620"/>
      <c r="C14" s="621"/>
      <c r="D14" s="610"/>
      <c r="E14" s="611">
        <v>15</v>
      </c>
      <c r="F14" s="612">
        <f t="shared" si="0"/>
        <v>0</v>
      </c>
      <c r="G14" s="613">
        <f t="shared" si="1"/>
        <v>0</v>
      </c>
      <c r="H14" s="622"/>
    </row>
    <row r="15" spans="2:15" ht="20.100000000000001" customHeight="1">
      <c r="B15" s="620"/>
      <c r="C15" s="621"/>
      <c r="D15" s="610"/>
      <c r="E15" s="611">
        <v>15</v>
      </c>
      <c r="F15" s="612">
        <f t="shared" si="0"/>
        <v>0</v>
      </c>
      <c r="G15" s="613">
        <f t="shared" si="1"/>
        <v>0</v>
      </c>
      <c r="H15" s="622"/>
    </row>
    <row r="16" spans="2:15" ht="20.100000000000001" customHeight="1">
      <c r="B16" s="620"/>
      <c r="C16" s="621"/>
      <c r="D16" s="610"/>
      <c r="E16" s="611">
        <v>15</v>
      </c>
      <c r="F16" s="612">
        <f t="shared" si="0"/>
        <v>0</v>
      </c>
      <c r="G16" s="613">
        <f t="shared" si="1"/>
        <v>0</v>
      </c>
      <c r="H16" s="622"/>
    </row>
    <row r="17" spans="2:8" ht="20.100000000000001" customHeight="1">
      <c r="B17" s="620"/>
      <c r="C17" s="621"/>
      <c r="D17" s="610"/>
      <c r="E17" s="611">
        <v>15</v>
      </c>
      <c r="F17" s="612">
        <f t="shared" si="0"/>
        <v>0</v>
      </c>
      <c r="G17" s="613">
        <f t="shared" si="1"/>
        <v>0</v>
      </c>
      <c r="H17" s="622"/>
    </row>
    <row r="18" spans="2:8" ht="20.100000000000001" customHeight="1">
      <c r="B18" s="620"/>
      <c r="C18" s="621"/>
      <c r="D18" s="610"/>
      <c r="E18" s="611">
        <v>15</v>
      </c>
      <c r="F18" s="612">
        <f t="shared" si="0"/>
        <v>0</v>
      </c>
      <c r="G18" s="613">
        <f t="shared" si="1"/>
        <v>0</v>
      </c>
      <c r="H18" s="622"/>
    </row>
    <row r="19" spans="2:8" ht="20.100000000000001" customHeight="1">
      <c r="B19" s="620"/>
      <c r="C19" s="621"/>
      <c r="D19" s="610"/>
      <c r="E19" s="611">
        <v>15</v>
      </c>
      <c r="F19" s="612">
        <f t="shared" si="0"/>
        <v>0</v>
      </c>
      <c r="G19" s="613">
        <f t="shared" si="1"/>
        <v>0</v>
      </c>
      <c r="H19" s="622"/>
    </row>
    <row r="20" spans="2:8" ht="20.100000000000001" customHeight="1">
      <c r="B20" s="620"/>
      <c r="C20" s="621"/>
      <c r="D20" s="610"/>
      <c r="E20" s="611">
        <v>15</v>
      </c>
      <c r="F20" s="612">
        <f t="shared" si="0"/>
        <v>0</v>
      </c>
      <c r="G20" s="613">
        <f t="shared" si="1"/>
        <v>0</v>
      </c>
      <c r="H20" s="622"/>
    </row>
    <row r="21" spans="2:8" ht="20.100000000000001" customHeight="1">
      <c r="B21" s="620"/>
      <c r="C21" s="621"/>
      <c r="D21" s="610"/>
      <c r="E21" s="611">
        <v>15</v>
      </c>
      <c r="F21" s="612">
        <f t="shared" si="0"/>
        <v>0</v>
      </c>
      <c r="G21" s="613">
        <f t="shared" si="1"/>
        <v>0</v>
      </c>
      <c r="H21" s="623"/>
    </row>
    <row r="22" spans="2:8" ht="20.100000000000001" customHeight="1"/>
    <row r="23" spans="2:8" ht="20.100000000000001" customHeight="1">
      <c r="B23" s="628" t="s">
        <v>734</v>
      </c>
      <c r="C23" s="629"/>
      <c r="D23" s="630" t="s">
        <v>735</v>
      </c>
    </row>
    <row r="24" spans="2:8" ht="20.100000000000001" customHeight="1">
      <c r="C24" s="629"/>
      <c r="D24" s="630" t="s">
        <v>736</v>
      </c>
    </row>
    <row r="25" spans="2:8" ht="20.100000000000001" customHeight="1">
      <c r="C25" s="628"/>
      <c r="D25" s="630" t="s">
        <v>737</v>
      </c>
    </row>
    <row r="26" spans="2:8" ht="20.100000000000001" customHeight="1"/>
    <row r="27" spans="2:8" ht="20.100000000000001" customHeight="1"/>
    <row r="28" spans="2:8" ht="20.100000000000001" customHeight="1">
      <c r="D28" s="631"/>
    </row>
    <row r="29" spans="2:8" ht="20.100000000000001" customHeight="1"/>
    <row r="30" spans="2:8" ht="20.100000000000001" customHeight="1">
      <c r="D30" s="632"/>
    </row>
    <row r="31" spans="2:8" ht="20.100000000000001" customHeight="1"/>
    <row r="32" spans="2:8" ht="20.100000000000001" customHeight="1">
      <c r="D32" s="633"/>
    </row>
    <row r="33" spans="2:7" s="626" customFormat="1" ht="20.100000000000001" customHeight="1">
      <c r="B33" s="624"/>
      <c r="C33" s="625"/>
      <c r="D33" s="580"/>
      <c r="F33" s="627"/>
      <c r="G33" s="627"/>
    </row>
    <row r="34" spans="2:7" s="626" customFormat="1" ht="20.100000000000001" customHeight="1">
      <c r="B34" s="624"/>
      <c r="C34" s="625"/>
      <c r="D34" s="633"/>
      <c r="F34" s="627"/>
      <c r="G34" s="627"/>
    </row>
    <row r="35" spans="2:7" s="626" customFormat="1" ht="20.100000000000001" customHeight="1">
      <c r="B35" s="624"/>
      <c r="C35" s="625"/>
      <c r="D35" s="580"/>
      <c r="F35" s="627"/>
      <c r="G35" s="627"/>
    </row>
    <row r="36" spans="2:7" s="626" customFormat="1" ht="20.100000000000001" customHeight="1">
      <c r="B36" s="624"/>
      <c r="C36" s="625"/>
      <c r="D36" s="633"/>
      <c r="F36" s="627"/>
      <c r="G36" s="627"/>
    </row>
    <row r="37" spans="2:7" s="626" customFormat="1" ht="20.100000000000001" customHeight="1">
      <c r="B37" s="624"/>
      <c r="C37" s="625"/>
      <c r="D37" s="580"/>
      <c r="F37" s="627"/>
      <c r="G37" s="627"/>
    </row>
    <row r="38" spans="2:7" s="626" customFormat="1" ht="20.100000000000001" customHeight="1">
      <c r="B38" s="624"/>
      <c r="C38" s="625"/>
      <c r="D38" s="580"/>
      <c r="F38" s="627"/>
      <c r="G38" s="627"/>
    </row>
    <row r="39" spans="2:7" s="626" customFormat="1" ht="20.100000000000001" customHeight="1">
      <c r="B39" s="624"/>
      <c r="C39" s="625"/>
      <c r="D39" s="580"/>
      <c r="F39" s="627"/>
      <c r="G39" s="627"/>
    </row>
    <row r="40" spans="2:7" s="626" customFormat="1" ht="20.100000000000001" customHeight="1">
      <c r="B40" s="624"/>
      <c r="C40" s="625"/>
      <c r="D40" s="580"/>
      <c r="F40" s="627"/>
      <c r="G40" s="627"/>
    </row>
    <row r="41" spans="2:7" s="626" customFormat="1" ht="20.100000000000001" customHeight="1">
      <c r="B41" s="624"/>
      <c r="C41" s="625"/>
      <c r="D41" s="580"/>
      <c r="F41" s="627"/>
      <c r="G41" s="627"/>
    </row>
    <row r="42" spans="2:7" s="626" customFormat="1" ht="20.100000000000001" customHeight="1">
      <c r="B42" s="624"/>
      <c r="C42" s="625"/>
      <c r="D42" s="580"/>
      <c r="F42" s="627"/>
      <c r="G42" s="627"/>
    </row>
    <row r="43" spans="2:7" s="626" customFormat="1" ht="20.100000000000001" customHeight="1">
      <c r="B43" s="624"/>
      <c r="C43" s="625"/>
      <c r="D43" s="580"/>
      <c r="F43" s="627"/>
      <c r="G43" s="627"/>
    </row>
    <row r="44" spans="2:7" s="626" customFormat="1" ht="20.100000000000001" customHeight="1">
      <c r="B44" s="624"/>
      <c r="C44" s="625"/>
      <c r="D44" s="580"/>
      <c r="F44" s="627"/>
      <c r="G44" s="627"/>
    </row>
    <row r="45" spans="2:7" s="626" customFormat="1" ht="20.100000000000001" customHeight="1">
      <c r="B45" s="624"/>
      <c r="C45" s="625"/>
      <c r="D45" s="580"/>
      <c r="F45" s="627"/>
      <c r="G45" s="627"/>
    </row>
    <row r="46" spans="2:7" s="626" customFormat="1" ht="20.100000000000001" customHeight="1">
      <c r="B46" s="624"/>
      <c r="C46" s="625"/>
      <c r="D46" s="580"/>
      <c r="F46" s="627"/>
      <c r="G46" s="627"/>
    </row>
    <row r="47" spans="2:7" s="626" customFormat="1" ht="20.100000000000001" customHeight="1">
      <c r="B47" s="624"/>
      <c r="C47" s="625"/>
      <c r="D47" s="580"/>
      <c r="F47" s="627"/>
      <c r="G47" s="627"/>
    </row>
    <row r="48" spans="2:7" s="626" customFormat="1" ht="20.100000000000001" customHeight="1">
      <c r="B48" s="624"/>
      <c r="C48" s="625"/>
      <c r="D48" s="580"/>
      <c r="F48" s="627"/>
      <c r="G48" s="627"/>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sheetData>
  <printOptions horizontalCentered="1" verticalCentered="1"/>
  <pageMargins left="0.4597222222222222" right="0" top="0.36666666666666664" bottom="0" header="0" footer="0.51180555555555551"/>
  <pageSetup scale="85" firstPageNumber="0" orientation="landscape" horizontalDpi="300" verticalDpi="300" r:id="rId1"/>
  <headerFooter alignWithMargins="0">
    <oddHeader>&amp;C&amp;"Arial,Bold"&amp;12Таблица на ферментацията с корекции на показанията на рефрактомера</oddHeader>
  </headerFooter>
</worksheet>
</file>

<file path=xl/worksheets/sheet4.xml><?xml version="1.0" encoding="utf-8"?>
<worksheet xmlns="http://schemas.openxmlformats.org/spreadsheetml/2006/main" xmlns:r="http://schemas.openxmlformats.org/officeDocument/2006/relationships">
  <dimension ref="B2:F65"/>
  <sheetViews>
    <sheetView zoomScale="85" zoomScaleNormal="85" workbookViewId="0">
      <selection activeCell="I3" sqref="I3"/>
    </sheetView>
  </sheetViews>
  <sheetFormatPr defaultColWidth="13.7109375" defaultRowHeight="20.100000000000001" customHeight="1"/>
  <cols>
    <col min="1" max="1" width="13.7109375" style="44"/>
    <col min="2" max="2" width="20.7109375" style="44" customWidth="1"/>
    <col min="3" max="3" width="19.5703125" style="44" customWidth="1"/>
    <col min="4" max="5" width="18.140625" style="44" customWidth="1"/>
    <col min="6" max="16384" width="13.7109375" style="44"/>
  </cols>
  <sheetData>
    <row r="2" spans="2:6" ht="20.100000000000001" customHeight="1">
      <c r="B2" s="44" t="s">
        <v>687</v>
      </c>
      <c r="C2" s="44" t="s">
        <v>686</v>
      </c>
      <c r="D2"/>
      <c r="E2"/>
      <c r="F2" s="44" t="s">
        <v>693</v>
      </c>
    </row>
    <row r="8" spans="2:6" ht="20.100000000000001" customHeight="1">
      <c r="C8" s="44" t="s">
        <v>689</v>
      </c>
      <c r="F8" s="44" t="s">
        <v>693</v>
      </c>
    </row>
    <row r="13" spans="2:6" ht="20.100000000000001" customHeight="1">
      <c r="B13" s="44" t="s">
        <v>694</v>
      </c>
      <c r="C13" s="44" t="s">
        <v>695</v>
      </c>
      <c r="F13" s="44" t="s">
        <v>696</v>
      </c>
    </row>
    <row r="18" spans="2:6" ht="20.100000000000001" customHeight="1">
      <c r="C18" s="44" t="s">
        <v>698</v>
      </c>
      <c r="F18" s="44" t="s">
        <v>693</v>
      </c>
    </row>
    <row r="23" spans="2:6" ht="20.100000000000001" customHeight="1">
      <c r="B23" s="44" t="s">
        <v>699</v>
      </c>
      <c r="C23" s="44" t="s">
        <v>700</v>
      </c>
      <c r="F23" s="44" t="s">
        <v>693</v>
      </c>
    </row>
    <row r="30" spans="2:6" ht="20.100000000000001" customHeight="1">
      <c r="B30" s="44" t="s">
        <v>697</v>
      </c>
      <c r="F30" s="44" t="s">
        <v>693</v>
      </c>
    </row>
    <row r="36" spans="2:6" ht="20.100000000000001" customHeight="1">
      <c r="B36" s="44" t="s">
        <v>706</v>
      </c>
      <c r="C36" s="44" t="s">
        <v>707</v>
      </c>
    </row>
    <row r="41" spans="2:6" ht="20.100000000000001" customHeight="1">
      <c r="C41" s="44" t="s">
        <v>708</v>
      </c>
    </row>
    <row r="47" spans="2:6" ht="20.100000000000001" customHeight="1">
      <c r="B47" s="44" t="s">
        <v>705</v>
      </c>
      <c r="C47" s="44" t="s">
        <v>704</v>
      </c>
      <c r="F47" s="44" t="s">
        <v>693</v>
      </c>
    </row>
    <row r="52" spans="2:6" ht="20.100000000000001" customHeight="1">
      <c r="B52" t="s">
        <v>709</v>
      </c>
      <c r="C52" s="44" t="s">
        <v>710</v>
      </c>
    </row>
    <row r="58" spans="2:6" ht="20.100000000000001" customHeight="1">
      <c r="B58" s="44" t="s">
        <v>701</v>
      </c>
      <c r="C58" s="44" t="s">
        <v>702</v>
      </c>
      <c r="F58" s="44" t="s">
        <v>703</v>
      </c>
    </row>
    <row r="65" spans="2:6" ht="20.100000000000001" customHeight="1">
      <c r="B65" s="44" t="s">
        <v>690</v>
      </c>
      <c r="C65" s="44" t="s">
        <v>691</v>
      </c>
      <c r="F65" s="44" t="s">
        <v>692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1:S78"/>
  <sheetViews>
    <sheetView zoomScale="115" zoomScaleNormal="115" workbookViewId="0">
      <selection activeCell="C28" sqref="C28"/>
    </sheetView>
  </sheetViews>
  <sheetFormatPr defaultRowHeight="20.100000000000001" customHeight="1"/>
  <cols>
    <col min="1" max="1" width="7.140625" style="9" customWidth="1"/>
    <col min="2" max="2" width="4.7109375" style="32" customWidth="1"/>
    <col min="3" max="3" width="60.7109375" style="9" customWidth="1"/>
    <col min="4" max="4" width="8.7109375" style="9" customWidth="1"/>
    <col min="5" max="6" width="11.7109375" style="9" customWidth="1"/>
    <col min="7" max="7" width="2.7109375" style="14" customWidth="1"/>
    <col min="8" max="8" width="11.7109375" style="9" customWidth="1"/>
    <col min="9" max="9" width="2.7109375" style="9" customWidth="1"/>
    <col min="10" max="11" width="11.7109375" style="9" customWidth="1"/>
    <col min="12" max="14" width="11.7109375" style="10" customWidth="1"/>
    <col min="15" max="16" width="8.7109375" style="9" customWidth="1"/>
    <col min="17" max="17" width="8.7109375" style="11" customWidth="1"/>
    <col min="18" max="18" width="8.7109375" style="10" customWidth="1"/>
    <col min="19" max="21" width="8.7109375" style="9" customWidth="1"/>
    <col min="22" max="16384" width="9.140625" style="9"/>
  </cols>
  <sheetData>
    <row r="1" spans="2:19" s="73" customFormat="1" ht="20.100000000000001" customHeight="1">
      <c r="B1" s="32"/>
      <c r="G1" s="99"/>
      <c r="L1" s="74"/>
      <c r="M1" s="74"/>
      <c r="N1" s="74"/>
      <c r="Q1" s="75"/>
      <c r="R1" s="74"/>
    </row>
    <row r="2" spans="2:19" s="145" customFormat="1" ht="30" customHeight="1">
      <c r="B2" s="144"/>
      <c r="C2" s="76" t="s">
        <v>110</v>
      </c>
      <c r="D2" s="148"/>
      <c r="E2" s="694">
        <v>42086</v>
      </c>
      <c r="F2" s="694"/>
      <c r="G2" s="146"/>
      <c r="O2" s="147"/>
    </row>
    <row r="3" spans="2:19" s="73" customFormat="1" ht="20.100000000000001" customHeight="1">
      <c r="B3" s="32"/>
      <c r="D3" s="32"/>
      <c r="E3" s="77" t="s">
        <v>42</v>
      </c>
      <c r="F3" s="77" t="s">
        <v>41</v>
      </c>
      <c r="G3" s="99"/>
      <c r="H3" s="77" t="s">
        <v>41</v>
      </c>
      <c r="J3" s="9"/>
      <c r="K3" s="9"/>
      <c r="L3" s="143" t="s">
        <v>143</v>
      </c>
      <c r="M3" s="36"/>
      <c r="N3" s="37"/>
      <c r="P3" s="17"/>
      <c r="R3" s="75"/>
      <c r="S3" s="17"/>
    </row>
    <row r="4" spans="2:19" ht="20.100000000000001" customHeight="1">
      <c r="B4" s="117" t="s">
        <v>102</v>
      </c>
      <c r="C4" s="72" t="s">
        <v>93</v>
      </c>
      <c r="D4" s="22">
        <v>0.5</v>
      </c>
      <c r="E4" s="28">
        <f>D4*J5</f>
        <v>8.5</v>
      </c>
      <c r="F4" s="83">
        <v>2.0499999999999998</v>
      </c>
      <c r="G4" s="85"/>
      <c r="H4" s="23">
        <f>E4*F4</f>
        <v>17.424999999999997</v>
      </c>
      <c r="J4" s="89" t="s">
        <v>95</v>
      </c>
      <c r="K4" s="89" t="s">
        <v>96</v>
      </c>
      <c r="L4" s="89" t="s">
        <v>97</v>
      </c>
      <c r="M4" s="90" t="s">
        <v>38</v>
      </c>
      <c r="N4" s="88" t="s">
        <v>39</v>
      </c>
      <c r="P4" s="18"/>
      <c r="Q4" s="9"/>
      <c r="R4" s="11"/>
      <c r="S4" s="18"/>
    </row>
    <row r="5" spans="2:19" ht="20.100000000000001" customHeight="1">
      <c r="B5" s="117" t="s">
        <v>103</v>
      </c>
      <c r="C5" s="27" t="s">
        <v>136</v>
      </c>
      <c r="D5" s="22">
        <v>0.4</v>
      </c>
      <c r="E5" s="28">
        <f>J5*D5</f>
        <v>6.8000000000000007</v>
      </c>
      <c r="F5" s="83">
        <v>2.85</v>
      </c>
      <c r="G5" s="85"/>
      <c r="H5" s="24">
        <f t="shared" ref="H5:H10" si="0">E5*F5</f>
        <v>19.380000000000003</v>
      </c>
      <c r="J5" s="119">
        <v>17</v>
      </c>
      <c r="K5" s="91">
        <f>J5*7</f>
        <v>119</v>
      </c>
      <c r="L5" s="91">
        <f>J5*5</f>
        <v>85</v>
      </c>
      <c r="M5" s="78">
        <f>L5*0.1</f>
        <v>8.5</v>
      </c>
      <c r="N5" s="79">
        <f>M5*20</f>
        <v>170</v>
      </c>
      <c r="P5" s="17"/>
      <c r="Q5" s="9"/>
      <c r="R5" s="17"/>
      <c r="S5" s="10"/>
    </row>
    <row r="6" spans="2:19" ht="20.100000000000001" customHeight="1">
      <c r="B6" s="117" t="s">
        <v>104</v>
      </c>
      <c r="C6" s="19" t="s">
        <v>113</v>
      </c>
      <c r="D6" s="128">
        <v>8.7999999999999995E-2</v>
      </c>
      <c r="E6" s="28">
        <f>J5*D6</f>
        <v>1.496</v>
      </c>
      <c r="F6" s="83"/>
      <c r="G6" s="85"/>
      <c r="H6" s="24"/>
      <c r="P6" s="17"/>
      <c r="Q6" s="9"/>
      <c r="R6" s="9"/>
      <c r="S6" s="10"/>
    </row>
    <row r="7" spans="2:19" ht="20.100000000000001" customHeight="1">
      <c r="B7" s="130" t="s">
        <v>105</v>
      </c>
      <c r="C7" s="19" t="s">
        <v>114</v>
      </c>
      <c r="D7" s="128">
        <v>1.2E-2</v>
      </c>
      <c r="E7" s="28">
        <f>J5*D7</f>
        <v>0.20400000000000001</v>
      </c>
      <c r="F7" s="83">
        <v>3</v>
      </c>
      <c r="G7" s="85"/>
      <c r="H7" s="25">
        <f t="shared" si="0"/>
        <v>0.6120000000000001</v>
      </c>
      <c r="P7" s="17"/>
      <c r="Q7" s="9"/>
      <c r="R7" s="9"/>
      <c r="S7" s="10"/>
    </row>
    <row r="8" spans="2:19" s="14" customFormat="1" ht="20.100000000000001" customHeight="1">
      <c r="B8" s="33"/>
      <c r="C8" s="19"/>
      <c r="D8" s="20"/>
      <c r="E8" s="21"/>
      <c r="F8" s="85"/>
      <c r="G8" s="85"/>
      <c r="H8" s="15"/>
      <c r="J8" s="89" t="s">
        <v>48</v>
      </c>
      <c r="K8" s="89" t="s">
        <v>46</v>
      </c>
      <c r="L8" s="89" t="s">
        <v>47</v>
      </c>
      <c r="M8" s="89" t="s">
        <v>94</v>
      </c>
      <c r="N8" s="89" t="s">
        <v>98</v>
      </c>
      <c r="P8" s="17"/>
      <c r="S8" s="17"/>
    </row>
    <row r="9" spans="2:19" ht="20.100000000000001" customHeight="1">
      <c r="B9" s="117" t="s">
        <v>102</v>
      </c>
      <c r="C9" s="19" t="s">
        <v>116</v>
      </c>
      <c r="D9" s="82" t="s">
        <v>91</v>
      </c>
      <c r="E9" s="86">
        <v>0.12</v>
      </c>
      <c r="F9" s="83"/>
      <c r="G9" s="85"/>
      <c r="H9" s="23"/>
      <c r="J9" s="93">
        <f>SUM(H4:H20)</f>
        <v>56.177</v>
      </c>
      <c r="K9" s="93">
        <f>J9/N5</f>
        <v>0.33045294117647056</v>
      </c>
      <c r="L9" s="93">
        <v>1.8</v>
      </c>
      <c r="M9" s="81">
        <f>L9-K9</f>
        <v>1.4695470588235295</v>
      </c>
      <c r="N9" s="80">
        <f>M9*N5-J9</f>
        <v>193.64600000000004</v>
      </c>
      <c r="P9" s="17"/>
      <c r="Q9" s="9"/>
      <c r="R9" s="11"/>
      <c r="S9" s="17"/>
    </row>
    <row r="10" spans="2:19" ht="19.5" customHeight="1">
      <c r="B10" s="117" t="s">
        <v>103</v>
      </c>
      <c r="C10" s="19" t="s">
        <v>117</v>
      </c>
      <c r="D10" s="129" t="s">
        <v>118</v>
      </c>
      <c r="E10" s="86">
        <v>0.06</v>
      </c>
      <c r="F10" s="83">
        <v>56</v>
      </c>
      <c r="G10" s="85"/>
      <c r="H10" s="24">
        <f t="shared" si="0"/>
        <v>3.36</v>
      </c>
      <c r="L10" s="9"/>
      <c r="M10" s="9"/>
      <c r="N10" s="9"/>
      <c r="P10" s="17"/>
      <c r="Q10" s="9"/>
      <c r="R10" s="17"/>
      <c r="S10" s="17"/>
    </row>
    <row r="11" spans="2:19" ht="20.100000000000001" customHeight="1">
      <c r="B11" s="130" t="s">
        <v>104</v>
      </c>
      <c r="C11" s="19" t="s">
        <v>115</v>
      </c>
      <c r="D11" s="84"/>
      <c r="E11" s="87">
        <v>2</v>
      </c>
      <c r="F11" s="83">
        <v>4.2</v>
      </c>
      <c r="G11" s="85"/>
      <c r="H11" s="25">
        <f>E11*F11</f>
        <v>8.4</v>
      </c>
      <c r="L11" s="9"/>
      <c r="M11" s="9"/>
      <c r="N11" s="9"/>
      <c r="P11" s="16"/>
      <c r="Q11" s="9"/>
      <c r="R11" s="16"/>
      <c r="S11" s="16"/>
    </row>
    <row r="12" spans="2:19" ht="20.100000000000001" customHeight="1">
      <c r="F12" s="83"/>
      <c r="G12" s="85"/>
      <c r="L12" s="9"/>
      <c r="M12" s="9"/>
      <c r="N12" s="9"/>
      <c r="Q12" s="9"/>
      <c r="R12" s="9"/>
    </row>
    <row r="13" spans="2:19" ht="20.100000000000001" customHeight="1">
      <c r="C13" s="9" t="s">
        <v>43</v>
      </c>
      <c r="F13" s="83"/>
      <c r="G13" s="85"/>
      <c r="H13" s="23">
        <v>7</v>
      </c>
      <c r="L13" s="9"/>
      <c r="M13" s="9"/>
      <c r="N13" s="9"/>
      <c r="Q13" s="9"/>
      <c r="R13" s="9"/>
    </row>
    <row r="14" spans="2:19" ht="20.100000000000001" customHeight="1">
      <c r="C14" s="38" t="s">
        <v>52</v>
      </c>
      <c r="F14" s="83"/>
      <c r="G14" s="85"/>
      <c r="H14" s="24"/>
      <c r="L14" s="9"/>
      <c r="M14" s="9"/>
      <c r="N14" s="9"/>
      <c r="Q14" s="9"/>
      <c r="R14" s="9"/>
    </row>
    <row r="15" spans="2:19" ht="20.100000000000001" customHeight="1">
      <c r="C15" s="9" t="s">
        <v>26</v>
      </c>
      <c r="F15" s="83"/>
      <c r="G15" s="85"/>
      <c r="H15" s="24"/>
      <c r="L15" s="9"/>
      <c r="M15" s="9"/>
      <c r="N15" s="9"/>
      <c r="Q15" s="9"/>
      <c r="R15" s="9"/>
    </row>
    <row r="16" spans="2:19" ht="20.100000000000001" customHeight="1">
      <c r="C16" s="38" t="s">
        <v>53</v>
      </c>
      <c r="F16" s="83"/>
      <c r="G16" s="85"/>
      <c r="H16" s="40"/>
      <c r="L16" s="9"/>
      <c r="M16" s="9"/>
      <c r="N16" s="9"/>
      <c r="Q16" s="9"/>
      <c r="R16" s="9"/>
    </row>
    <row r="17" spans="2:18" ht="20.100000000000001" customHeight="1">
      <c r="C17" s="9" t="s">
        <v>27</v>
      </c>
      <c r="E17" s="13"/>
      <c r="F17" s="83"/>
      <c r="G17" s="85"/>
      <c r="H17" s="26"/>
      <c r="L17" s="9"/>
      <c r="M17" s="9"/>
      <c r="N17" s="9"/>
      <c r="Q17" s="9"/>
      <c r="R17" s="9"/>
    </row>
    <row r="18" spans="2:18" ht="20.100000000000001" customHeight="1">
      <c r="C18" s="9" t="s">
        <v>25</v>
      </c>
      <c r="E18" s="13"/>
      <c r="F18" s="83"/>
      <c r="G18" s="85"/>
      <c r="H18" s="26"/>
      <c r="L18" s="9"/>
      <c r="M18" s="9"/>
      <c r="N18" s="9"/>
      <c r="Q18" s="9"/>
      <c r="R18" s="9"/>
    </row>
    <row r="19" spans="2:18" ht="20.100000000000001" customHeight="1">
      <c r="E19" s="13"/>
      <c r="H19" s="39"/>
      <c r="L19" s="9"/>
      <c r="M19" s="9"/>
      <c r="N19" s="9"/>
      <c r="Q19" s="9"/>
      <c r="R19" s="9"/>
    </row>
    <row r="20" spans="2:18" s="52" customFormat="1" ht="20.100000000000001" customHeight="1">
      <c r="C20" s="52" t="s">
        <v>71</v>
      </c>
    </row>
    <row r="21" spans="2:18" s="52" customFormat="1" ht="15" customHeight="1">
      <c r="C21" s="54" t="s">
        <v>72</v>
      </c>
      <c r="F21" s="59">
        <v>8.3000000000000007</v>
      </c>
      <c r="G21" s="100"/>
    </row>
    <row r="22" spans="2:18" s="52" customFormat="1" ht="15" customHeight="1">
      <c r="C22" s="55" t="s">
        <v>73</v>
      </c>
      <c r="F22" s="57">
        <f>1*F21*10*80%</f>
        <v>66.400000000000006</v>
      </c>
      <c r="G22" s="96"/>
    </row>
    <row r="23" spans="2:18" s="52" customFormat="1" ht="15">
      <c r="C23" s="55" t="s">
        <v>74</v>
      </c>
      <c r="F23" s="58">
        <v>9</v>
      </c>
      <c r="G23" s="97"/>
    </row>
    <row r="24" spans="2:18" s="52" customFormat="1" ht="15">
      <c r="C24" s="55" t="s">
        <v>75</v>
      </c>
      <c r="F24" s="142">
        <v>3</v>
      </c>
      <c r="G24" s="98"/>
    </row>
    <row r="25" spans="2:18" s="52" customFormat="1" ht="15">
      <c r="C25" s="56" t="s">
        <v>76</v>
      </c>
      <c r="F25" s="60">
        <f>F23*F24/F22</f>
        <v>0.40662650602409633</v>
      </c>
      <c r="G25" s="95"/>
    </row>
    <row r="26" spans="2:18" s="52" customFormat="1" ht="15">
      <c r="C26" s="94"/>
      <c r="F26" s="95"/>
      <c r="G26" s="95"/>
    </row>
    <row r="27" spans="2:18" ht="20.100000000000001" customHeight="1">
      <c r="D27" s="92" t="s">
        <v>99</v>
      </c>
      <c r="E27" s="92" t="s">
        <v>100</v>
      </c>
      <c r="F27" s="92" t="s">
        <v>101</v>
      </c>
      <c r="G27" s="101"/>
      <c r="L27" s="9"/>
      <c r="M27" s="9"/>
      <c r="N27" s="9"/>
      <c r="Q27" s="9"/>
      <c r="R27" s="9"/>
    </row>
    <row r="28" spans="2:18" ht="20.100000000000001" customHeight="1">
      <c r="D28" s="12"/>
      <c r="E28" s="12"/>
      <c r="F28" s="12"/>
      <c r="G28" s="16"/>
      <c r="L28" s="9"/>
      <c r="M28" s="9"/>
      <c r="N28" s="9"/>
      <c r="Q28" s="9"/>
      <c r="R28" s="9"/>
    </row>
    <row r="29" spans="2:18" ht="20.100000000000001" customHeight="1">
      <c r="L29" s="9"/>
      <c r="M29" s="9"/>
      <c r="N29" s="9"/>
      <c r="Q29" s="9"/>
      <c r="R29" s="9"/>
    </row>
    <row r="30" spans="2:18" ht="20.100000000000001" customHeight="1">
      <c r="C30" s="120" t="s">
        <v>132</v>
      </c>
      <c r="E30" s="134" t="s">
        <v>133</v>
      </c>
      <c r="F30" s="135">
        <v>0.38541666666666669</v>
      </c>
      <c r="L30" s="9"/>
      <c r="M30" s="9"/>
      <c r="N30" s="9"/>
      <c r="Q30" s="9"/>
      <c r="R30" s="9"/>
    </row>
    <row r="31" spans="2:18" ht="20.100000000000001" customHeight="1">
      <c r="H31" s="29"/>
      <c r="L31" s="9"/>
      <c r="M31" s="9"/>
      <c r="N31" s="9"/>
      <c r="Q31" s="9"/>
      <c r="R31" s="9"/>
    </row>
    <row r="32" spans="2:18" s="31" customFormat="1" ht="20.100000000000001" customHeight="1">
      <c r="B32" s="45" t="s">
        <v>66</v>
      </c>
      <c r="C32" s="133" t="s">
        <v>131</v>
      </c>
      <c r="D32" s="131"/>
      <c r="E32" s="131"/>
      <c r="F32" s="131"/>
      <c r="G32" s="102"/>
    </row>
    <row r="34" spans="2:18" ht="20.100000000000001" customHeight="1">
      <c r="B34" s="32">
        <v>1</v>
      </c>
      <c r="C34" s="132" t="s">
        <v>127</v>
      </c>
      <c r="D34" s="118">
        <f>J5*3</f>
        <v>51</v>
      </c>
      <c r="E34" s="118">
        <f>J5*4</f>
        <v>68</v>
      </c>
      <c r="F34" s="118">
        <f>SUM(D34:E34)</f>
        <v>119</v>
      </c>
      <c r="G34" s="16"/>
      <c r="L34" s="9"/>
      <c r="M34" s="9"/>
      <c r="N34" s="9"/>
      <c r="Q34" s="9"/>
      <c r="R34" s="9"/>
    </row>
    <row r="35" spans="2:18" ht="20.100000000000001" customHeight="1">
      <c r="B35" s="32">
        <v>2</v>
      </c>
      <c r="C35" s="61" t="s">
        <v>85</v>
      </c>
      <c r="E35" s="139" t="s">
        <v>135</v>
      </c>
      <c r="F35" s="139" t="s">
        <v>137</v>
      </c>
    </row>
    <row r="36" spans="2:18" ht="20.100000000000001" customHeight="1">
      <c r="B36" s="32">
        <v>4</v>
      </c>
      <c r="C36" s="132" t="s">
        <v>122</v>
      </c>
      <c r="D36" s="137">
        <v>2.0833333333333332E-2</v>
      </c>
      <c r="E36" s="136">
        <v>0.4548611111111111</v>
      </c>
      <c r="F36" s="138">
        <f>E36+D36</f>
        <v>0.47569444444444442</v>
      </c>
    </row>
    <row r="37" spans="2:18" ht="20.100000000000001" customHeight="1">
      <c r="B37" s="32">
        <v>5</v>
      </c>
      <c r="C37" s="61" t="s">
        <v>86</v>
      </c>
      <c r="D37" s="137">
        <v>3.4722222222222224E-2</v>
      </c>
      <c r="E37" s="140">
        <v>0.52083333333333337</v>
      </c>
      <c r="F37" s="138">
        <f>E37+D37</f>
        <v>0.55555555555555558</v>
      </c>
    </row>
    <row r="38" spans="2:18" ht="20.100000000000001" customHeight="1">
      <c r="B38" s="32">
        <v>6</v>
      </c>
      <c r="C38" s="132" t="s">
        <v>123</v>
      </c>
      <c r="D38" s="137">
        <v>6.9444444444444441E-3</v>
      </c>
      <c r="E38" s="139" t="s">
        <v>134</v>
      </c>
      <c r="F38" s="138" t="e">
        <f>E38+D38</f>
        <v>#VALUE!</v>
      </c>
    </row>
    <row r="39" spans="2:18" ht="20.100000000000001" customHeight="1">
      <c r="B39" s="32">
        <v>7</v>
      </c>
      <c r="C39" s="30" t="s">
        <v>49</v>
      </c>
    </row>
    <row r="40" spans="2:18" ht="20.100000000000001" customHeight="1">
      <c r="B40" s="32">
        <v>8</v>
      </c>
      <c r="C40" s="132" t="s">
        <v>124</v>
      </c>
      <c r="E40" s="132" t="s">
        <v>134</v>
      </c>
    </row>
    <row r="41" spans="2:18" s="1" customFormat="1" ht="15">
      <c r="B41" s="42"/>
      <c r="C41" s="5"/>
      <c r="G41" s="104"/>
    </row>
    <row r="42" spans="2:18" ht="20.100000000000001" customHeight="1">
      <c r="C42" s="6" t="s">
        <v>128</v>
      </c>
    </row>
    <row r="43" spans="2:18" ht="33" customHeight="1">
      <c r="B43" s="32">
        <v>9</v>
      </c>
      <c r="C43" s="698" t="s">
        <v>82</v>
      </c>
      <c r="D43" s="699"/>
      <c r="E43" s="699"/>
      <c r="F43" s="699"/>
      <c r="G43" s="105"/>
    </row>
    <row r="44" spans="2:18" ht="20.100000000000001" customHeight="1">
      <c r="B44" s="32">
        <v>10</v>
      </c>
      <c r="C44" s="698" t="s">
        <v>87</v>
      </c>
      <c r="D44" s="698"/>
      <c r="E44" s="64"/>
      <c r="F44" s="69">
        <v>10</v>
      </c>
      <c r="G44" s="106"/>
    </row>
    <row r="45" spans="2:18" ht="20.100000000000001" customHeight="1">
      <c r="B45" s="34">
        <v>11</v>
      </c>
      <c r="C45" s="67" t="s">
        <v>88</v>
      </c>
      <c r="D45" s="67"/>
      <c r="E45" s="66"/>
      <c r="F45" s="66"/>
      <c r="G45" s="107"/>
    </row>
    <row r="46" spans="2:18" ht="20.100000000000001" customHeight="1">
      <c r="B46" s="34"/>
      <c r="C46" s="126"/>
      <c r="D46" s="126"/>
      <c r="E46" s="126"/>
      <c r="F46" s="126"/>
      <c r="G46" s="105"/>
    </row>
    <row r="47" spans="2:18" ht="20.100000000000001" customHeight="1">
      <c r="B47" s="34"/>
      <c r="C47" s="6" t="s">
        <v>89</v>
      </c>
      <c r="D47" s="133" t="s">
        <v>125</v>
      </c>
      <c r="E47" s="133" t="s">
        <v>138</v>
      </c>
      <c r="F47" s="133" t="s">
        <v>141</v>
      </c>
      <c r="G47" s="102"/>
    </row>
    <row r="48" spans="2:18" ht="20.100000000000001" customHeight="1">
      <c r="B48" s="34">
        <v>12</v>
      </c>
      <c r="C48" s="122" t="s">
        <v>61</v>
      </c>
      <c r="D48" s="124"/>
      <c r="E48" s="124"/>
      <c r="F48" s="69">
        <v>5</v>
      </c>
      <c r="G48" s="108"/>
    </row>
    <row r="49" spans="2:8" ht="20.100000000000001" customHeight="1">
      <c r="B49" s="32">
        <v>13</v>
      </c>
      <c r="C49" s="19" t="s">
        <v>37</v>
      </c>
      <c r="E49" s="134" t="s">
        <v>126</v>
      </c>
      <c r="F49" s="134" t="s">
        <v>139</v>
      </c>
    </row>
    <row r="50" spans="2:8" ht="20.100000000000001" customHeight="1">
      <c r="B50" s="32">
        <v>14</v>
      </c>
      <c r="C50" s="19" t="s">
        <v>40</v>
      </c>
      <c r="E50" s="141" t="s">
        <v>92</v>
      </c>
      <c r="F50" s="134" t="s">
        <v>140</v>
      </c>
    </row>
    <row r="51" spans="2:8" ht="20.100000000000001" customHeight="1">
      <c r="C51" s="19" t="s">
        <v>142</v>
      </c>
      <c r="D51" s="72"/>
      <c r="E51" s="134"/>
      <c r="F51" s="137">
        <v>0.75</v>
      </c>
    </row>
    <row r="53" spans="2:8" ht="20.100000000000001" customHeight="1">
      <c r="B53" s="34">
        <v>15</v>
      </c>
      <c r="C53" s="30" t="s">
        <v>51</v>
      </c>
    </row>
    <row r="54" spans="2:8" ht="20.100000000000001" customHeight="1">
      <c r="B54" s="32">
        <v>16</v>
      </c>
      <c r="C54" s="123" t="s">
        <v>84</v>
      </c>
      <c r="D54" s="127"/>
      <c r="F54" s="69">
        <v>16</v>
      </c>
      <c r="G54" s="106"/>
      <c r="H54" s="12"/>
    </row>
    <row r="55" spans="2:8" ht="20.100000000000001" customHeight="1">
      <c r="B55" s="32">
        <v>17</v>
      </c>
      <c r="C55" s="61" t="s">
        <v>83</v>
      </c>
      <c r="F55" s="70"/>
      <c r="G55" s="109"/>
      <c r="H55" s="12"/>
    </row>
    <row r="56" spans="2:8" ht="20.100000000000001" customHeight="1">
      <c r="B56" s="32">
        <v>18</v>
      </c>
      <c r="C56" s="41" t="s">
        <v>55</v>
      </c>
      <c r="F56" s="70"/>
      <c r="G56" s="109"/>
      <c r="H56" s="12"/>
    </row>
    <row r="57" spans="2:8" ht="20.100000000000001" customHeight="1">
      <c r="B57" s="32">
        <v>19</v>
      </c>
      <c r="C57" s="41" t="s">
        <v>54</v>
      </c>
      <c r="F57" s="70"/>
      <c r="G57" s="109"/>
      <c r="H57" s="12"/>
    </row>
    <row r="58" spans="2:8" ht="20.100000000000001" customHeight="1">
      <c r="C58" s="122"/>
      <c r="D58" s="127"/>
      <c r="E58" s="127"/>
      <c r="F58" s="65"/>
      <c r="G58" s="110"/>
      <c r="H58" s="12"/>
    </row>
    <row r="59" spans="2:8" ht="20.100000000000001" customHeight="1">
      <c r="C59" s="125" t="s">
        <v>63</v>
      </c>
      <c r="D59" s="127"/>
      <c r="E59" s="127"/>
      <c r="F59" s="65"/>
      <c r="G59" s="110"/>
      <c r="H59" s="12"/>
    </row>
    <row r="60" spans="2:8" s="1" customFormat="1" ht="20.100000000000001" customHeight="1">
      <c r="B60" s="42">
        <v>21</v>
      </c>
      <c r="C60" s="121" t="s">
        <v>57</v>
      </c>
      <c r="D60" s="121"/>
      <c r="E60" s="121"/>
      <c r="F60" s="69">
        <v>7</v>
      </c>
      <c r="G60" s="106"/>
      <c r="H60" s="42"/>
    </row>
    <row r="61" spans="2:8" ht="20.100000000000001" customHeight="1">
      <c r="B61" s="32">
        <v>22</v>
      </c>
      <c r="C61" s="122" t="s">
        <v>62</v>
      </c>
      <c r="D61" s="127"/>
      <c r="E61" s="127"/>
      <c r="F61" s="68">
        <f>(F54-F60)*0.52</f>
        <v>4.68</v>
      </c>
      <c r="G61" s="111"/>
    </row>
    <row r="62" spans="2:8" ht="20.100000000000001" customHeight="1">
      <c r="B62" s="32">
        <v>23</v>
      </c>
      <c r="C62" s="46" t="s">
        <v>70</v>
      </c>
      <c r="D62" s="127"/>
      <c r="E62" s="127"/>
      <c r="F62" s="127"/>
      <c r="G62" s="112"/>
    </row>
    <row r="63" spans="2:8" ht="33" customHeight="1">
      <c r="B63" s="32">
        <v>24</v>
      </c>
      <c r="C63" s="700" t="s">
        <v>64</v>
      </c>
      <c r="D63" s="700"/>
      <c r="E63" s="700"/>
      <c r="F63" s="700"/>
      <c r="G63" s="103"/>
    </row>
    <row r="64" spans="2:8" s="52" customFormat="1" ht="15">
      <c r="C64" s="53"/>
    </row>
    <row r="65" spans="2:7" ht="20.100000000000001" customHeight="1">
      <c r="C65" s="43"/>
    </row>
    <row r="66" spans="2:7" s="1" customFormat="1" ht="20.100000000000001" customHeight="1">
      <c r="B66" s="42">
        <v>25</v>
      </c>
      <c r="C66" s="695" t="s">
        <v>56</v>
      </c>
      <c r="D66" s="695"/>
      <c r="E66" s="695"/>
      <c r="F66" s="695"/>
      <c r="G66" s="113"/>
    </row>
    <row r="67" spans="2:7" s="1" customFormat="1" ht="20.100000000000001" customHeight="1">
      <c r="B67" s="42"/>
      <c r="C67" s="121" t="s">
        <v>67</v>
      </c>
      <c r="D67" s="121"/>
      <c r="E67" s="121"/>
      <c r="F67" s="121"/>
      <c r="G67" s="113"/>
    </row>
    <row r="68" spans="2:7" s="1" customFormat="1" ht="20.100000000000001" customHeight="1">
      <c r="B68" s="42">
        <v>26</v>
      </c>
      <c r="C68" s="696" t="s">
        <v>65</v>
      </c>
      <c r="D68" s="696"/>
      <c r="E68" s="696"/>
      <c r="F68" s="696"/>
      <c r="G68" s="114"/>
    </row>
    <row r="69" spans="2:7" s="1" customFormat="1" ht="15">
      <c r="B69" s="42"/>
      <c r="C69" s="121"/>
      <c r="D69" s="44"/>
      <c r="E69" s="44"/>
      <c r="F69" s="44"/>
      <c r="G69" s="115"/>
    </row>
    <row r="71" spans="2:7" ht="20.100000000000001" customHeight="1">
      <c r="C71" s="43" t="s">
        <v>59</v>
      </c>
    </row>
    <row r="72" spans="2:7" ht="163.5" customHeight="1">
      <c r="C72" s="697" t="s">
        <v>58</v>
      </c>
      <c r="D72" s="697"/>
      <c r="E72" s="697"/>
      <c r="F72" s="697"/>
      <c r="G72" s="116"/>
    </row>
    <row r="74" spans="2:7" ht="146.25" customHeight="1">
      <c r="C74" s="71" t="s">
        <v>60</v>
      </c>
    </row>
    <row r="75" spans="2:7" s="1" customFormat="1" ht="66" customHeight="1">
      <c r="B75" s="42"/>
      <c r="C75" s="695" t="s">
        <v>50</v>
      </c>
      <c r="D75" s="695"/>
      <c r="E75" s="695"/>
      <c r="F75" s="695"/>
      <c r="G75" s="113"/>
    </row>
    <row r="78" spans="2:7" ht="20.100000000000001" customHeight="1">
      <c r="C78" s="152" t="s">
        <v>145</v>
      </c>
    </row>
  </sheetData>
  <mergeCells count="8">
    <mergeCell ref="E2:F2"/>
    <mergeCell ref="C66:F66"/>
    <mergeCell ref="C68:F68"/>
    <mergeCell ref="C72:F72"/>
    <mergeCell ref="C75:F75"/>
    <mergeCell ref="C43:F43"/>
    <mergeCell ref="C44:D44"/>
    <mergeCell ref="C63:F63"/>
  </mergeCells>
  <hyperlinks>
    <hyperlink ref="C78" r:id="rId1"/>
  </hyperlinks>
  <pageMargins left="0.25" right="0.25" top="0.75" bottom="0.75" header="0.3" footer="0.3"/>
  <pageSetup paperSize="9" orientation="portrait" r:id="rId2"/>
  <headerFooter>
    <oddFooter>&amp;L&amp;D&amp;Rстр &amp;P от &amp;N</oddFooter>
  </headerFooter>
</worksheet>
</file>

<file path=xl/worksheets/sheet6.xml><?xml version="1.0" encoding="utf-8"?>
<worksheet xmlns="http://schemas.openxmlformats.org/spreadsheetml/2006/main" xmlns:r="http://schemas.openxmlformats.org/officeDocument/2006/relationships">
  <dimension ref="B1:S181"/>
  <sheetViews>
    <sheetView topLeftCell="A19" zoomScale="115" zoomScaleNormal="115" workbookViewId="0">
      <selection activeCell="A19" sqref="A19"/>
    </sheetView>
  </sheetViews>
  <sheetFormatPr defaultRowHeight="20.100000000000001" customHeight="1"/>
  <cols>
    <col min="1" max="1" width="8.85546875" style="9" customWidth="1"/>
    <col min="2" max="2" width="4.7109375" style="32" customWidth="1"/>
    <col min="3" max="3" width="60.7109375" style="9" customWidth="1"/>
    <col min="4" max="4" width="8.7109375" style="9" customWidth="1"/>
    <col min="5" max="6" width="11.7109375" style="9" customWidth="1"/>
    <col min="7" max="7" width="2.7109375" style="14" customWidth="1"/>
    <col min="8" max="8" width="11.7109375" style="9" customWidth="1"/>
    <col min="9" max="9" width="2.7109375" style="9" customWidth="1"/>
    <col min="10" max="11" width="11.7109375" style="9" customWidth="1"/>
    <col min="12" max="14" width="11.7109375" style="10" customWidth="1"/>
    <col min="15" max="16" width="8.7109375" style="9" customWidth="1"/>
    <col min="17" max="17" width="8.7109375" style="11" customWidth="1"/>
    <col min="18" max="18" width="8.7109375" style="10" customWidth="1"/>
    <col min="19" max="21" width="8.7109375" style="9" customWidth="1"/>
    <col min="22" max="16384" width="9.140625" style="9"/>
  </cols>
  <sheetData>
    <row r="1" spans="2:19" s="73" customFormat="1" ht="20.100000000000001" customHeight="1">
      <c r="B1" s="32"/>
      <c r="G1" s="99"/>
      <c r="L1" s="74"/>
      <c r="M1" s="74"/>
      <c r="N1" s="74"/>
      <c r="Q1" s="75"/>
      <c r="R1" s="74"/>
    </row>
    <row r="2" spans="2:19" s="145" customFormat="1" ht="30" customHeight="1">
      <c r="B2" s="144"/>
      <c r="C2" s="176" t="s">
        <v>215</v>
      </c>
      <c r="D2" s="148"/>
      <c r="E2" s="694"/>
      <c r="F2" s="694"/>
      <c r="G2" s="146"/>
      <c r="O2" s="147"/>
    </row>
    <row r="3" spans="2:19" s="73" customFormat="1" ht="20.100000000000001" customHeight="1">
      <c r="B3" s="32"/>
      <c r="C3" s="152"/>
      <c r="D3" s="32"/>
      <c r="E3" s="77" t="s">
        <v>42</v>
      </c>
      <c r="F3" s="77" t="s">
        <v>41</v>
      </c>
      <c r="G3" s="99"/>
      <c r="H3" s="77" t="s">
        <v>41</v>
      </c>
      <c r="J3" s="9"/>
      <c r="K3" s="9"/>
      <c r="L3" s="143"/>
      <c r="M3" s="36"/>
      <c r="N3" s="37"/>
      <c r="P3" s="17"/>
      <c r="R3" s="75"/>
      <c r="S3" s="17"/>
    </row>
    <row r="4" spans="2:19" ht="20.100000000000001" customHeight="1">
      <c r="B4" s="117" t="s">
        <v>102</v>
      </c>
      <c r="C4" s="228" t="s">
        <v>90</v>
      </c>
      <c r="D4" s="22">
        <v>0.75</v>
      </c>
      <c r="E4" s="28">
        <f>J5*D4</f>
        <v>9.75</v>
      </c>
      <c r="F4" s="83">
        <v>2.85</v>
      </c>
      <c r="G4" s="85"/>
      <c r="H4" s="23">
        <f>E4*F4</f>
        <v>27.787500000000001</v>
      </c>
      <c r="J4" s="89" t="s">
        <v>95</v>
      </c>
      <c r="K4" s="89" t="s">
        <v>96</v>
      </c>
      <c r="L4" s="89" t="s">
        <v>97</v>
      </c>
      <c r="M4" s="90" t="s">
        <v>38</v>
      </c>
      <c r="N4" s="88" t="s">
        <v>39</v>
      </c>
      <c r="P4" s="18"/>
      <c r="Q4" s="9"/>
      <c r="R4" s="11"/>
      <c r="S4" s="18"/>
    </row>
    <row r="5" spans="2:19" ht="20.100000000000001" customHeight="1">
      <c r="B5" s="117" t="s">
        <v>103</v>
      </c>
      <c r="C5" s="210" t="s">
        <v>213</v>
      </c>
      <c r="D5" s="22">
        <v>0.1</v>
      </c>
      <c r="E5" s="28">
        <f>J5*D5</f>
        <v>1.3</v>
      </c>
      <c r="F5" s="83">
        <v>2.5499999999999998</v>
      </c>
      <c r="G5" s="85"/>
      <c r="H5" s="24">
        <f>E5*F5</f>
        <v>3.3149999999999999</v>
      </c>
      <c r="J5" s="119">
        <v>13</v>
      </c>
      <c r="K5" s="91">
        <f>J5*7</f>
        <v>91</v>
      </c>
      <c r="L5" s="91">
        <f>J5*4.5</f>
        <v>58.5</v>
      </c>
      <c r="M5" s="78">
        <f>L5*0.1</f>
        <v>5.8500000000000005</v>
      </c>
      <c r="N5" s="79">
        <f>M5*20</f>
        <v>117.00000000000001</v>
      </c>
      <c r="P5" s="17"/>
      <c r="Q5" s="9"/>
      <c r="R5" s="17"/>
      <c r="S5" s="10"/>
    </row>
    <row r="6" spans="2:19" ht="20.100000000000001" customHeight="1">
      <c r="B6" s="162" t="s">
        <v>104</v>
      </c>
      <c r="C6" s="210" t="s">
        <v>231</v>
      </c>
      <c r="D6" s="22">
        <v>0.1</v>
      </c>
      <c r="E6" s="28">
        <f>J5*D6</f>
        <v>1.3</v>
      </c>
      <c r="F6" s="83">
        <v>2.5499999999999998</v>
      </c>
      <c r="G6" s="85"/>
      <c r="H6" s="24">
        <f>E6*F6</f>
        <v>3.3149999999999999</v>
      </c>
      <c r="P6" s="17"/>
      <c r="Q6" s="9"/>
      <c r="R6" s="9"/>
      <c r="S6" s="10"/>
    </row>
    <row r="7" spans="2:19" ht="20.100000000000001" customHeight="1">
      <c r="B7" s="162" t="s">
        <v>105</v>
      </c>
      <c r="C7" s="230" t="s">
        <v>149</v>
      </c>
      <c r="D7" s="22">
        <v>0.05</v>
      </c>
      <c r="E7" s="28">
        <f>J5*D7</f>
        <v>0.65</v>
      </c>
      <c r="F7" s="83">
        <v>2.4500000000000002</v>
      </c>
      <c r="G7" s="85"/>
      <c r="H7" s="25">
        <f>E7*F7</f>
        <v>1.5925000000000002</v>
      </c>
      <c r="P7" s="17"/>
      <c r="Q7" s="9"/>
      <c r="R7" s="9"/>
      <c r="S7" s="10"/>
    </row>
    <row r="8" spans="2:19" ht="20.100000000000001" customHeight="1">
      <c r="B8" s="162" t="s">
        <v>106</v>
      </c>
      <c r="G8" s="85"/>
      <c r="P8" s="17"/>
      <c r="Q8" s="9"/>
      <c r="R8" s="9"/>
      <c r="S8" s="10"/>
    </row>
    <row r="9" spans="2:19" s="14" customFormat="1" ht="20.100000000000001" customHeight="1">
      <c r="B9" s="33"/>
      <c r="C9" s="9"/>
      <c r="D9" s="20"/>
      <c r="E9" s="21"/>
      <c r="F9" s="85"/>
      <c r="G9" s="85"/>
      <c r="H9" s="15"/>
      <c r="P9" s="17"/>
      <c r="S9" s="17"/>
    </row>
    <row r="10" spans="2:19" ht="20.100000000000001" customHeight="1">
      <c r="B10" s="117" t="s">
        <v>102</v>
      </c>
      <c r="C10" s="215" t="s">
        <v>175</v>
      </c>
      <c r="D10" s="82" t="s">
        <v>91</v>
      </c>
      <c r="E10" s="163">
        <f>L5*0.001</f>
        <v>5.8500000000000003E-2</v>
      </c>
      <c r="F10" s="83">
        <v>58</v>
      </c>
      <c r="G10" s="85"/>
      <c r="H10" s="23">
        <f>E10*F10</f>
        <v>3.3930000000000002</v>
      </c>
      <c r="J10" s="89" t="s">
        <v>48</v>
      </c>
      <c r="K10" s="89" t="s">
        <v>46</v>
      </c>
      <c r="L10" s="89" t="s">
        <v>47</v>
      </c>
      <c r="M10" s="89" t="s">
        <v>94</v>
      </c>
      <c r="N10" s="89" t="s">
        <v>98</v>
      </c>
      <c r="P10" s="17"/>
      <c r="Q10" s="9"/>
      <c r="R10" s="11"/>
      <c r="S10" s="17"/>
    </row>
    <row r="11" spans="2:19" ht="19.5" customHeight="1">
      <c r="B11" s="117" t="s">
        <v>103</v>
      </c>
      <c r="C11" s="215" t="s">
        <v>174</v>
      </c>
      <c r="D11" s="82" t="s">
        <v>91</v>
      </c>
      <c r="E11" s="163">
        <v>7.4999999999999997E-2</v>
      </c>
      <c r="F11" s="83">
        <v>56</v>
      </c>
      <c r="G11" s="85"/>
      <c r="H11" s="24">
        <f>E11*F11</f>
        <v>4.2</v>
      </c>
      <c r="J11" s="93">
        <f>SUM(H4:H62)</f>
        <v>73.694625000000016</v>
      </c>
      <c r="K11" s="93">
        <f>J11/N5</f>
        <v>0.62986858974358984</v>
      </c>
      <c r="L11" s="93">
        <v>1.2</v>
      </c>
      <c r="M11" s="81">
        <f>L11-K11</f>
        <v>0.57013141025641012</v>
      </c>
      <c r="N11" s="80">
        <f>M11*N5</f>
        <v>66.705374999999989</v>
      </c>
      <c r="P11" s="17"/>
      <c r="Q11" s="9"/>
      <c r="R11" s="17"/>
      <c r="S11" s="17"/>
    </row>
    <row r="12" spans="2:19" ht="19.5" customHeight="1">
      <c r="B12" s="130" t="s">
        <v>104</v>
      </c>
      <c r="C12" s="215" t="s">
        <v>208</v>
      </c>
      <c r="D12" s="190" t="s">
        <v>171</v>
      </c>
      <c r="E12" s="163">
        <f>L5*0.00005</f>
        <v>2.9250000000000001E-3</v>
      </c>
      <c r="F12" s="83">
        <v>125</v>
      </c>
      <c r="G12" s="85"/>
      <c r="H12" s="24">
        <f>E12*F12</f>
        <v>0.36562500000000003</v>
      </c>
      <c r="J12" s="185"/>
      <c r="K12" s="185"/>
      <c r="L12" s="185"/>
      <c r="M12" s="186"/>
      <c r="N12" s="187"/>
      <c r="P12" s="17"/>
      <c r="Q12" s="9"/>
      <c r="R12" s="17"/>
      <c r="S12" s="17"/>
    </row>
    <row r="13" spans="2:19" ht="20.100000000000001" customHeight="1">
      <c r="B13" s="188" t="s">
        <v>105</v>
      </c>
      <c r="C13" s="215" t="s">
        <v>148</v>
      </c>
      <c r="D13" s="84"/>
      <c r="E13" s="87">
        <v>1</v>
      </c>
      <c r="F13" s="83">
        <v>4.2</v>
      </c>
      <c r="G13" s="85"/>
      <c r="H13" s="25">
        <f>E13*F13</f>
        <v>4.2</v>
      </c>
      <c r="L13" s="9"/>
      <c r="M13" s="9"/>
      <c r="N13" s="9"/>
      <c r="P13" s="16"/>
      <c r="Q13" s="9"/>
      <c r="R13" s="16"/>
      <c r="S13" s="16"/>
    </row>
    <row r="14" spans="2:19" ht="20.100000000000001" customHeight="1">
      <c r="F14" s="83"/>
      <c r="G14" s="85"/>
      <c r="L14" s="9"/>
      <c r="M14" s="9"/>
      <c r="N14" s="9"/>
      <c r="Q14" s="9"/>
      <c r="R14" s="9"/>
    </row>
    <row r="15" spans="2:19" ht="20.100000000000001" customHeight="1">
      <c r="C15" s="9" t="s">
        <v>43</v>
      </c>
      <c r="F15" s="83"/>
      <c r="G15" s="85"/>
      <c r="H15" s="23">
        <v>7</v>
      </c>
      <c r="L15" s="9"/>
      <c r="M15" s="9"/>
      <c r="N15" s="9"/>
      <c r="Q15" s="9"/>
      <c r="R15" s="9"/>
    </row>
    <row r="16" spans="2:19" ht="20.100000000000001" customHeight="1">
      <c r="C16" s="9" t="s">
        <v>52</v>
      </c>
      <c r="F16" s="83"/>
      <c r="G16" s="85"/>
      <c r="H16" s="24">
        <v>4</v>
      </c>
      <c r="L16" s="9"/>
      <c r="M16" s="9"/>
      <c r="N16" s="9"/>
      <c r="Q16" s="9"/>
      <c r="R16" s="9"/>
    </row>
    <row r="17" spans="2:18" ht="20.100000000000001" customHeight="1">
      <c r="C17" s="9" t="s">
        <v>26</v>
      </c>
      <c r="F17" s="83"/>
      <c r="G17" s="85"/>
      <c r="H17" s="24">
        <v>1</v>
      </c>
      <c r="L17" s="9"/>
      <c r="M17" s="160"/>
      <c r="N17" s="9"/>
      <c r="O17" s="161"/>
      <c r="Q17" s="9"/>
      <c r="R17" s="9"/>
    </row>
    <row r="18" spans="2:18" ht="20.100000000000001" customHeight="1">
      <c r="C18" s="184" t="s">
        <v>172</v>
      </c>
      <c r="F18" s="83"/>
      <c r="G18" s="85"/>
      <c r="H18" s="159">
        <v>7</v>
      </c>
      <c r="L18" s="9"/>
      <c r="M18" s="160"/>
      <c r="N18" s="9"/>
      <c r="O18" s="161"/>
      <c r="Q18" s="9"/>
      <c r="R18" s="9"/>
    </row>
    <row r="19" spans="2:18" ht="20.100000000000001" customHeight="1">
      <c r="C19" s="9" t="s">
        <v>27</v>
      </c>
      <c r="E19" s="13"/>
      <c r="F19" s="83"/>
      <c r="G19" s="85"/>
      <c r="H19" s="157">
        <f>J5*0.25</f>
        <v>3.25</v>
      </c>
      <c r="L19" s="9"/>
      <c r="M19" s="160"/>
      <c r="N19" s="9"/>
      <c r="O19" s="161"/>
      <c r="Q19" s="9"/>
      <c r="R19" s="9"/>
    </row>
    <row r="20" spans="2:18" ht="20.100000000000001" customHeight="1">
      <c r="C20" s="9" t="s">
        <v>25</v>
      </c>
      <c r="E20" s="13"/>
      <c r="F20" s="158"/>
      <c r="G20" s="85"/>
      <c r="H20" s="157">
        <f>N5*0.028</f>
        <v>3.2760000000000002</v>
      </c>
      <c r="L20" s="9"/>
      <c r="M20" s="160"/>
      <c r="N20" s="9"/>
      <c r="O20" s="161"/>
      <c r="Q20" s="9"/>
      <c r="R20" s="9"/>
    </row>
    <row r="21" spans="2:18" ht="20.100000000000001" customHeight="1">
      <c r="E21" s="13"/>
      <c r="H21" s="39"/>
      <c r="L21" s="9"/>
      <c r="M21" s="160"/>
      <c r="N21" s="35"/>
      <c r="O21" s="161"/>
      <c r="Q21" s="9"/>
      <c r="R21" s="9"/>
    </row>
    <row r="22" spans="2:18" ht="20.100000000000001" customHeight="1">
      <c r="C22" s="166" t="s">
        <v>157</v>
      </c>
      <c r="D22" s="701"/>
      <c r="E22" s="701"/>
      <c r="F22" s="202"/>
      <c r="L22" s="9"/>
      <c r="M22" s="9"/>
      <c r="N22" s="9"/>
      <c r="Q22" s="9"/>
      <c r="R22" s="9"/>
    </row>
    <row r="23" spans="2:18" ht="20.100000000000001" customHeight="1">
      <c r="H23" s="29"/>
      <c r="L23" s="9"/>
      <c r="M23" s="9"/>
      <c r="N23" s="9"/>
      <c r="Q23" s="9"/>
      <c r="R23" s="9"/>
    </row>
    <row r="24" spans="2:18" ht="20.100000000000001" customHeight="1">
      <c r="B24" s="179" t="s">
        <v>159</v>
      </c>
      <c r="C24" s="133" t="s">
        <v>131</v>
      </c>
      <c r="D24" s="175" t="s">
        <v>99</v>
      </c>
      <c r="E24" s="175" t="s">
        <v>100</v>
      </c>
      <c r="F24" s="175" t="s">
        <v>101</v>
      </c>
    </row>
    <row r="25" spans="2:18" ht="20.100000000000001" customHeight="1">
      <c r="B25" s="179" t="s">
        <v>159</v>
      </c>
      <c r="C25" s="164" t="s">
        <v>158</v>
      </c>
      <c r="D25" s="118">
        <v>40</v>
      </c>
      <c r="E25" s="118">
        <v>70</v>
      </c>
      <c r="F25" s="118">
        <f>SUM(D25:E25)</f>
        <v>110</v>
      </c>
      <c r="G25" s="16"/>
      <c r="L25" s="9"/>
      <c r="M25" s="9"/>
      <c r="N25" s="9"/>
      <c r="Q25" s="9"/>
      <c r="R25" s="9"/>
    </row>
    <row r="26" spans="2:18" ht="20.100000000000001" customHeight="1">
      <c r="B26" s="179"/>
      <c r="C26" s="164"/>
      <c r="D26" s="118"/>
      <c r="E26" s="118"/>
      <c r="F26" s="118"/>
      <c r="G26" s="16"/>
      <c r="L26" s="9"/>
      <c r="M26" s="9"/>
      <c r="N26" s="9"/>
      <c r="Q26" s="9"/>
      <c r="R26" s="9"/>
    </row>
    <row r="27" spans="2:18" ht="20.100000000000001" customHeight="1">
      <c r="B27" s="32">
        <v>1</v>
      </c>
      <c r="C27" s="132" t="s">
        <v>127</v>
      </c>
      <c r="D27" s="199"/>
      <c r="E27" s="229" t="s">
        <v>44</v>
      </c>
      <c r="F27" s="118"/>
      <c r="G27" s="16"/>
      <c r="L27" s="9"/>
      <c r="M27" s="9"/>
      <c r="N27" s="9"/>
      <c r="Q27" s="9"/>
      <c r="R27" s="9"/>
    </row>
    <row r="28" spans="2:18" ht="20.100000000000001" customHeight="1">
      <c r="B28" s="32">
        <v>3</v>
      </c>
      <c r="C28" s="215" t="s">
        <v>226</v>
      </c>
      <c r="D28" s="217">
        <v>45</v>
      </c>
      <c r="E28" s="229" t="s">
        <v>44</v>
      </c>
      <c r="F28" s="229" t="s">
        <v>45</v>
      </c>
    </row>
    <row r="29" spans="2:18" ht="20.100000000000001" customHeight="1">
      <c r="B29" s="32">
        <v>4</v>
      </c>
      <c r="C29" s="164" t="s">
        <v>150</v>
      </c>
      <c r="D29" s="217">
        <v>20</v>
      </c>
      <c r="E29" s="229" t="s">
        <v>44</v>
      </c>
      <c r="F29" s="229" t="s">
        <v>45</v>
      </c>
    </row>
    <row r="30" spans="2:18" ht="20.100000000000001" customHeight="1">
      <c r="B30" s="32">
        <v>5</v>
      </c>
      <c r="C30" s="30" t="s">
        <v>49</v>
      </c>
      <c r="D30" s="184"/>
    </row>
    <row r="31" spans="2:18" ht="20.100000000000001" customHeight="1">
      <c r="B31" s="32">
        <v>6</v>
      </c>
      <c r="C31" s="132" t="s">
        <v>124</v>
      </c>
      <c r="E31" s="132"/>
      <c r="F31" s="216" t="s">
        <v>230</v>
      </c>
    </row>
    <row r="32" spans="2:18" ht="20.100000000000001" customHeight="1">
      <c r="B32" s="32">
        <v>7</v>
      </c>
      <c r="C32" s="215" t="s">
        <v>229</v>
      </c>
      <c r="D32" s="191"/>
      <c r="E32" s="191"/>
      <c r="F32" s="191"/>
      <c r="G32" s="105"/>
    </row>
    <row r="33" spans="2:8" ht="20.100000000000001" customHeight="1">
      <c r="B33" s="32">
        <v>8</v>
      </c>
      <c r="C33" s="164" t="s">
        <v>155</v>
      </c>
      <c r="F33" s="219" t="s">
        <v>134</v>
      </c>
    </row>
    <row r="34" spans="2:8" ht="20.100000000000001" customHeight="1">
      <c r="B34" s="32">
        <v>9</v>
      </c>
      <c r="C34" s="164" t="s">
        <v>156</v>
      </c>
    </row>
    <row r="35" spans="2:8" ht="20.100000000000001" customHeight="1">
      <c r="B35" s="32">
        <v>10</v>
      </c>
      <c r="C35" s="200" t="s">
        <v>180</v>
      </c>
      <c r="D35" s="218" t="s">
        <v>227</v>
      </c>
      <c r="E35" s="218" t="s">
        <v>228</v>
      </c>
      <c r="F35" s="183">
        <v>22.9</v>
      </c>
      <c r="G35" s="106"/>
    </row>
    <row r="36" spans="2:8" ht="20.100000000000001" customHeight="1">
      <c r="B36" s="32">
        <v>11</v>
      </c>
      <c r="C36" s="67" t="s">
        <v>88</v>
      </c>
      <c r="D36" s="67"/>
      <c r="E36" s="66"/>
      <c r="F36" s="66"/>
      <c r="G36" s="107"/>
    </row>
    <row r="37" spans="2:8" ht="20.100000000000001" customHeight="1">
      <c r="B37" s="32">
        <v>12</v>
      </c>
      <c r="C37" s="200" t="s">
        <v>179</v>
      </c>
      <c r="D37" s="182"/>
      <c r="E37" s="198" t="s">
        <v>181</v>
      </c>
      <c r="F37" s="183"/>
      <c r="G37" s="106"/>
    </row>
    <row r="38" spans="2:8" ht="20.100000000000001" customHeight="1">
      <c r="B38" s="32">
        <v>13</v>
      </c>
      <c r="C38" s="156" t="s">
        <v>61</v>
      </c>
      <c r="D38" s="198" t="s">
        <v>160</v>
      </c>
      <c r="E38" s="180" t="s">
        <v>164</v>
      </c>
      <c r="F38" s="183" t="s">
        <v>161</v>
      </c>
      <c r="G38" s="108"/>
    </row>
    <row r="39" spans="2:8" ht="20.100000000000001" customHeight="1">
      <c r="B39" s="32">
        <v>14</v>
      </c>
      <c r="C39" s="189" t="s">
        <v>173</v>
      </c>
      <c r="D39" s="193"/>
      <c r="E39" s="193"/>
      <c r="F39" s="194">
        <v>75</v>
      </c>
      <c r="G39" s="108"/>
    </row>
    <row r="40" spans="2:8" ht="20.100000000000001" customHeight="1">
      <c r="B40" s="32">
        <v>15</v>
      </c>
      <c r="C40" s="184" t="s">
        <v>89</v>
      </c>
      <c r="D40" s="196">
        <v>75</v>
      </c>
      <c r="E40" s="165"/>
      <c r="F40" s="189" t="s">
        <v>182</v>
      </c>
      <c r="G40" s="102"/>
    </row>
    <row r="41" spans="2:8" ht="20.100000000000001" customHeight="1">
      <c r="B41" s="32">
        <v>16</v>
      </c>
      <c r="C41" s="184" t="s">
        <v>174</v>
      </c>
      <c r="D41" s="173">
        <v>60</v>
      </c>
      <c r="E41" s="164"/>
      <c r="F41" s="189" t="s">
        <v>183</v>
      </c>
      <c r="H41" s="195"/>
    </row>
    <row r="42" spans="2:8" ht="20.100000000000001" customHeight="1">
      <c r="B42" s="32">
        <v>17</v>
      </c>
      <c r="C42" s="184" t="s">
        <v>175</v>
      </c>
      <c r="D42" s="174">
        <v>15</v>
      </c>
      <c r="E42" s="164"/>
      <c r="F42" s="189" t="s">
        <v>184</v>
      </c>
    </row>
    <row r="43" spans="2:8" ht="20.100000000000001" customHeight="1">
      <c r="B43" s="32">
        <v>18</v>
      </c>
      <c r="C43" s="19" t="s">
        <v>169</v>
      </c>
      <c r="D43" s="174">
        <v>15</v>
      </c>
      <c r="E43" s="164"/>
      <c r="F43" s="189" t="s">
        <v>184</v>
      </c>
    </row>
    <row r="44" spans="2:8" ht="20.100000000000001" customHeight="1">
      <c r="B44" s="32">
        <v>19</v>
      </c>
      <c r="C44" s="19" t="s">
        <v>142</v>
      </c>
      <c r="D44" s="72"/>
      <c r="E44" s="134"/>
      <c r="F44" s="189" t="s">
        <v>185</v>
      </c>
      <c r="H44" s="195"/>
    </row>
    <row r="45" spans="2:8" ht="20.100000000000001" customHeight="1">
      <c r="B45" s="32">
        <v>20</v>
      </c>
      <c r="C45" s="184" t="s">
        <v>190</v>
      </c>
      <c r="D45" s="189" t="s">
        <v>186</v>
      </c>
      <c r="E45" s="165" t="s">
        <v>45</v>
      </c>
      <c r="H45" s="195"/>
    </row>
    <row r="46" spans="2:8" ht="20.100000000000001" customHeight="1">
      <c r="B46" s="32">
        <v>21</v>
      </c>
      <c r="C46" s="184" t="s">
        <v>187</v>
      </c>
      <c r="D46" s="189" t="s">
        <v>188</v>
      </c>
      <c r="E46" s="189" t="s">
        <v>189</v>
      </c>
      <c r="F46" s="201" t="s">
        <v>192</v>
      </c>
      <c r="G46" s="109"/>
      <c r="H46" s="12"/>
    </row>
    <row r="47" spans="2:8" ht="20.100000000000001" customHeight="1">
      <c r="B47" s="32">
        <v>22</v>
      </c>
      <c r="C47" s="189" t="s">
        <v>170</v>
      </c>
      <c r="D47" s="198" t="s">
        <v>162</v>
      </c>
      <c r="E47" s="218" t="s">
        <v>163</v>
      </c>
      <c r="F47" s="183">
        <v>14.3</v>
      </c>
      <c r="G47" s="106"/>
      <c r="H47" s="12"/>
    </row>
    <row r="48" spans="2:8" ht="20.100000000000001" customHeight="1">
      <c r="B48" s="32">
        <v>23</v>
      </c>
      <c r="C48" s="189" t="s">
        <v>173</v>
      </c>
      <c r="D48" s="193"/>
      <c r="E48" s="193"/>
      <c r="F48" s="194">
        <v>60</v>
      </c>
      <c r="G48" s="108"/>
    </row>
    <row r="49" spans="2:8" ht="20.100000000000001" customHeight="1">
      <c r="B49" s="32">
        <v>24</v>
      </c>
      <c r="C49" s="219" t="s">
        <v>324</v>
      </c>
      <c r="D49" s="193"/>
      <c r="E49" s="193"/>
      <c r="F49" s="193"/>
      <c r="G49" s="108"/>
    </row>
    <row r="50" spans="2:8" ht="20.100000000000001" customHeight="1">
      <c r="B50" s="32">
        <v>25</v>
      </c>
      <c r="C50" s="164" t="s">
        <v>23</v>
      </c>
      <c r="D50" s="181"/>
      <c r="E50" s="197" t="s">
        <v>178</v>
      </c>
      <c r="F50" s="188" t="s">
        <v>191</v>
      </c>
      <c r="G50" s="109"/>
      <c r="H50" s="12"/>
    </row>
    <row r="51" spans="2:8" ht="20.100000000000001" customHeight="1">
      <c r="B51" s="32">
        <v>26</v>
      </c>
      <c r="C51" s="41" t="s">
        <v>54</v>
      </c>
      <c r="F51" s="70"/>
      <c r="G51" s="109"/>
      <c r="H51" s="12"/>
    </row>
    <row r="52" spans="2:8" ht="20.100000000000001" customHeight="1">
      <c r="B52" s="32">
        <v>27</v>
      </c>
      <c r="C52" s="164" t="s">
        <v>165</v>
      </c>
      <c r="D52" s="181" t="s">
        <v>167</v>
      </c>
      <c r="E52" s="197" t="s">
        <v>200</v>
      </c>
      <c r="F52" s="70"/>
      <c r="G52" s="109"/>
      <c r="H52" s="12"/>
    </row>
    <row r="53" spans="2:8" ht="20.100000000000001" customHeight="1">
      <c r="B53" s="34"/>
      <c r="C53" s="41"/>
      <c r="D53" s="197" t="s">
        <v>199</v>
      </c>
      <c r="E53" s="197" t="s">
        <v>200</v>
      </c>
      <c r="F53" s="70"/>
      <c r="G53" s="109"/>
      <c r="H53" s="135"/>
    </row>
    <row r="54" spans="2:8" ht="20.100000000000001" customHeight="1">
      <c r="B54" s="34"/>
      <c r="C54" s="41"/>
      <c r="D54" s="181" t="s">
        <v>166</v>
      </c>
      <c r="E54" s="181" t="s">
        <v>164</v>
      </c>
      <c r="F54" s="70"/>
      <c r="G54" s="109"/>
      <c r="H54" s="135"/>
    </row>
    <row r="55" spans="2:8" ht="20.100000000000001" customHeight="1">
      <c r="C55" s="153" t="s">
        <v>63</v>
      </c>
      <c r="D55" s="154"/>
      <c r="E55" s="154"/>
      <c r="F55" s="65"/>
      <c r="G55" s="110"/>
      <c r="H55" s="12"/>
    </row>
    <row r="56" spans="2:8" s="1" customFormat="1" ht="20.100000000000001" customHeight="1">
      <c r="B56" s="42">
        <v>25</v>
      </c>
      <c r="C56" s="155" t="s">
        <v>57</v>
      </c>
      <c r="D56" s="204" t="s">
        <v>205</v>
      </c>
      <c r="E56" s="180" t="s">
        <v>161</v>
      </c>
      <c r="F56" s="183">
        <v>6</v>
      </c>
      <c r="G56" s="106"/>
      <c r="H56" s="42"/>
    </row>
    <row r="57" spans="2:8" ht="20.100000000000001" customHeight="1">
      <c r="B57" s="42">
        <v>27</v>
      </c>
      <c r="C57" s="46" t="s">
        <v>70</v>
      </c>
      <c r="D57" s="154"/>
      <c r="E57" s="154"/>
      <c r="F57" s="154"/>
      <c r="G57" s="112"/>
    </row>
    <row r="58" spans="2:8" ht="20.100000000000001" customHeight="1">
      <c r="B58" s="32">
        <v>28</v>
      </c>
      <c r="C58" s="184" t="s">
        <v>176</v>
      </c>
      <c r="D58" s="43"/>
      <c r="E58" s="43"/>
      <c r="F58" s="43"/>
      <c r="G58" s="103"/>
    </row>
    <row r="59" spans="2:8" s="1" customFormat="1" ht="20.100000000000001" customHeight="1">
      <c r="B59" s="42">
        <v>29</v>
      </c>
      <c r="C59" s="1" t="s">
        <v>168</v>
      </c>
      <c r="G59" s="113"/>
    </row>
    <row r="60" spans="2:8" s="1" customFormat="1" ht="20.100000000000001" customHeight="1">
      <c r="B60" s="32">
        <v>30</v>
      </c>
      <c r="C60" s="184" t="s">
        <v>177</v>
      </c>
      <c r="D60" s="6"/>
      <c r="E60" s="205" t="s">
        <v>178</v>
      </c>
      <c r="F60" s="205" t="s">
        <v>206</v>
      </c>
      <c r="G60" s="114"/>
    </row>
    <row r="62" spans="2:8" s="52" customFormat="1" ht="20.100000000000001" customHeight="1">
      <c r="C62" s="172" t="s">
        <v>71</v>
      </c>
    </row>
    <row r="63" spans="2:8" s="52" customFormat="1" ht="15" customHeight="1">
      <c r="C63" s="54" t="s">
        <v>72</v>
      </c>
      <c r="E63" s="59">
        <v>22.5</v>
      </c>
      <c r="G63" s="100"/>
    </row>
    <row r="64" spans="2:8" s="52" customFormat="1" ht="15" customHeight="1">
      <c r="C64" s="55" t="s">
        <v>73</v>
      </c>
      <c r="E64" s="57">
        <f>1*E63*10*80%</f>
        <v>180</v>
      </c>
      <c r="G64" s="96"/>
    </row>
    <row r="65" spans="2:18" s="52" customFormat="1" ht="15">
      <c r="C65" s="55" t="s">
        <v>74</v>
      </c>
      <c r="E65" s="58">
        <v>60</v>
      </c>
      <c r="G65" s="97"/>
    </row>
    <row r="66" spans="2:18" s="52" customFormat="1" ht="15">
      <c r="C66" s="55" t="s">
        <v>75</v>
      </c>
      <c r="E66" s="142">
        <v>8</v>
      </c>
      <c r="G66" s="98"/>
    </row>
    <row r="67" spans="2:18" s="52" customFormat="1" ht="15">
      <c r="C67" s="56" t="s">
        <v>76</v>
      </c>
      <c r="E67" s="60">
        <f>E65*E66/E64</f>
        <v>2.6666666666666665</v>
      </c>
      <c r="G67" s="95"/>
    </row>
    <row r="68" spans="2:18" s="52" customFormat="1" ht="15">
      <c r="C68" s="94"/>
      <c r="E68" s="95"/>
      <c r="G68" s="95"/>
    </row>
    <row r="69" spans="2:18" ht="20.100000000000001" customHeight="1">
      <c r="C69" s="169" t="s">
        <v>154</v>
      </c>
      <c r="E69" s="167">
        <f>E70*E71/E72</f>
        <v>60</v>
      </c>
    </row>
    <row r="70" spans="2:18" ht="20.100000000000001" customHeight="1">
      <c r="C70" s="170" t="s">
        <v>151</v>
      </c>
      <c r="E70" s="168">
        <v>65</v>
      </c>
    </row>
    <row r="71" spans="2:18" ht="20.100000000000001" customHeight="1">
      <c r="C71" s="170" t="s">
        <v>152</v>
      </c>
      <c r="E71" s="178">
        <v>12</v>
      </c>
    </row>
    <row r="72" spans="2:18" ht="20.100000000000001" customHeight="1">
      <c r="C72" s="171" t="s">
        <v>153</v>
      </c>
      <c r="E72" s="177">
        <f>J5</f>
        <v>13</v>
      </c>
    </row>
    <row r="73" spans="2:18" ht="20.100000000000001" customHeight="1">
      <c r="D73" s="12"/>
      <c r="E73" s="12"/>
      <c r="F73" s="12"/>
      <c r="G73" s="16"/>
      <c r="L73" s="9"/>
      <c r="M73" s="9"/>
      <c r="N73" s="9"/>
      <c r="Q73" s="9"/>
      <c r="R73" s="9"/>
    </row>
    <row r="74" spans="2:18" ht="20.100000000000001" customHeight="1">
      <c r="C74" s="6" t="s">
        <v>202</v>
      </c>
      <c r="D74" s="12"/>
      <c r="E74" s="206" t="s">
        <v>209</v>
      </c>
      <c r="F74" s="206" t="s">
        <v>210</v>
      </c>
      <c r="G74" s="9"/>
      <c r="L74" s="9"/>
      <c r="M74" s="9"/>
      <c r="N74" s="9"/>
      <c r="Q74" s="9"/>
      <c r="R74" s="9"/>
    </row>
    <row r="75" spans="2:18" ht="20.100000000000001" customHeight="1">
      <c r="B75" s="32">
        <v>1</v>
      </c>
      <c r="C75" s="189" t="s">
        <v>201</v>
      </c>
      <c r="D75" s="154"/>
      <c r="E75" s="211">
        <f>(F47-F56)*0.52</f>
        <v>4.3160000000000007</v>
      </c>
      <c r="F75" s="12" t="s">
        <v>198</v>
      </c>
      <c r="G75" s="9"/>
    </row>
    <row r="76" spans="2:18" ht="20.100000000000001" customHeight="1">
      <c r="C76" s="189"/>
      <c r="D76" s="207"/>
      <c r="E76" s="212"/>
      <c r="F76" s="12"/>
      <c r="G76" s="9"/>
    </row>
    <row r="77" spans="2:18" ht="20.100000000000001" customHeight="1">
      <c r="B77" s="32">
        <v>2</v>
      </c>
      <c r="C77" s="209" t="s">
        <v>212</v>
      </c>
      <c r="E77" s="213">
        <v>9.33</v>
      </c>
      <c r="F77" s="12" t="s">
        <v>197</v>
      </c>
      <c r="G77" s="9"/>
      <c r="L77" s="9"/>
      <c r="M77" s="9"/>
      <c r="N77" s="9"/>
      <c r="Q77" s="9"/>
      <c r="R77" s="9"/>
    </row>
    <row r="78" spans="2:18" ht="20.100000000000001" customHeight="1">
      <c r="D78" s="12"/>
      <c r="E78" s="12"/>
      <c r="F78" s="12"/>
      <c r="G78" s="16"/>
      <c r="L78" s="9"/>
      <c r="M78" s="9"/>
      <c r="N78" s="9"/>
      <c r="Q78" s="9"/>
      <c r="R78" s="9"/>
    </row>
    <row r="79" spans="2:18" ht="20.100000000000001" customHeight="1">
      <c r="B79" s="32">
        <v>3</v>
      </c>
      <c r="C79" s="152" t="s">
        <v>211</v>
      </c>
      <c r="E79" s="192">
        <v>20.63</v>
      </c>
      <c r="F79" s="208" t="s">
        <v>214</v>
      </c>
      <c r="G79" s="16"/>
      <c r="L79" s="9"/>
      <c r="M79" s="9"/>
      <c r="N79" s="9"/>
      <c r="Q79" s="9"/>
      <c r="R79" s="9"/>
    </row>
    <row r="80" spans="2:18" ht="20.100000000000001" customHeight="1">
      <c r="C80" s="152"/>
      <c r="G80" s="16"/>
      <c r="L80" s="9"/>
      <c r="M80" s="9"/>
      <c r="N80" s="9"/>
      <c r="Q80" s="9"/>
      <c r="R80" s="9"/>
    </row>
    <row r="81" spans="2:18" ht="20.100000000000001" customHeight="1">
      <c r="B81" s="32">
        <v>4</v>
      </c>
      <c r="C81" s="219" t="s">
        <v>321</v>
      </c>
      <c r="D81" s="226"/>
      <c r="E81" s="227">
        <v>14.3</v>
      </c>
      <c r="G81" s="106"/>
      <c r="H81" s="12"/>
    </row>
    <row r="82" spans="2:18" ht="20.100000000000001" customHeight="1">
      <c r="C82" s="189"/>
      <c r="D82" s="226"/>
      <c r="E82" s="226"/>
      <c r="F82" s="226"/>
      <c r="G82" s="106"/>
      <c r="H82" s="12"/>
    </row>
    <row r="83" spans="2:18" ht="20.100000000000001" customHeight="1">
      <c r="B83" s="32">
        <v>5</v>
      </c>
      <c r="C83" s="189" t="s">
        <v>224</v>
      </c>
      <c r="E83" s="192">
        <v>1.0580000000000001</v>
      </c>
      <c r="G83" s="16"/>
      <c r="L83" s="9"/>
      <c r="M83" s="9"/>
      <c r="N83" s="9"/>
      <c r="Q83" s="9"/>
      <c r="R83" s="9"/>
    </row>
    <row r="84" spans="2:18" ht="20.100000000000001" customHeight="1">
      <c r="L84" s="9"/>
      <c r="M84" s="9"/>
      <c r="N84" s="9"/>
      <c r="Q84" s="9"/>
      <c r="R84" s="9"/>
    </row>
    <row r="85" spans="2:18" ht="20.100000000000001" customHeight="1">
      <c r="C85" s="203" t="s">
        <v>203</v>
      </c>
    </row>
    <row r="86" spans="2:18" ht="20.100000000000001" customHeight="1">
      <c r="C86" s="203" t="s">
        <v>204</v>
      </c>
    </row>
    <row r="87" spans="2:18" ht="20.100000000000001" customHeight="1">
      <c r="D87" s="9" t="s">
        <v>193</v>
      </c>
      <c r="E87" s="9" t="s">
        <v>194</v>
      </c>
    </row>
    <row r="88" spans="2:18" ht="20.100000000000001" customHeight="1">
      <c r="D88" s="9" t="s">
        <v>195</v>
      </c>
      <c r="E88" s="9" t="s">
        <v>196</v>
      </c>
    </row>
    <row r="91" spans="2:18" ht="20.100000000000001" customHeight="1">
      <c r="C91" s="222" t="s">
        <v>232</v>
      </c>
      <c r="D91" s="1"/>
    </row>
    <row r="92" spans="2:18" ht="20.100000000000001" customHeight="1">
      <c r="C92" s="1" t="s">
        <v>233</v>
      </c>
      <c r="D92" s="1"/>
    </row>
    <row r="93" spans="2:18" ht="20.100000000000001" customHeight="1">
      <c r="C93" s="1" t="s">
        <v>234</v>
      </c>
      <c r="D93" s="1"/>
    </row>
    <row r="94" spans="2:18" ht="20.100000000000001" customHeight="1">
      <c r="C94" s="223" t="s">
        <v>235</v>
      </c>
      <c r="D94" s="1"/>
    </row>
    <row r="95" spans="2:18" ht="20.100000000000001" customHeight="1">
      <c r="C95" s="1"/>
      <c r="D95" s="1"/>
    </row>
    <row r="96" spans="2:18" ht="20.100000000000001" customHeight="1">
      <c r="C96" s="224" t="s">
        <v>236</v>
      </c>
      <c r="D96" s="1"/>
    </row>
    <row r="97" spans="3:6" ht="20.100000000000001" customHeight="1">
      <c r="C97" s="1"/>
      <c r="D97" s="1"/>
    </row>
    <row r="98" spans="3:6" ht="20.100000000000001" customHeight="1">
      <c r="C98" s="224" t="s">
        <v>237</v>
      </c>
      <c r="D98" s="1"/>
    </row>
    <row r="99" spans="3:6" ht="20.100000000000001" customHeight="1">
      <c r="C99" s="224"/>
      <c r="D99" s="1"/>
    </row>
    <row r="100" spans="3:6" ht="20.100000000000001" customHeight="1">
      <c r="E100" s="702" t="s">
        <v>320</v>
      </c>
      <c r="F100" s="703"/>
    </row>
    <row r="101" spans="3:6" ht="20.100000000000001" customHeight="1">
      <c r="E101" s="221" t="s">
        <v>238</v>
      </c>
      <c r="F101" s="221" t="s">
        <v>239</v>
      </c>
    </row>
    <row r="102" spans="3:6" ht="30" customHeight="1">
      <c r="E102" s="225">
        <v>0.5</v>
      </c>
      <c r="F102" s="220" t="s">
        <v>240</v>
      </c>
    </row>
    <row r="103" spans="3:6" ht="20.100000000000001" customHeight="1">
      <c r="E103" s="225">
        <v>1</v>
      </c>
      <c r="F103" s="220" t="s">
        <v>241</v>
      </c>
    </row>
    <row r="104" spans="3:6" ht="20.100000000000001" customHeight="1">
      <c r="E104" s="225">
        <v>1.5</v>
      </c>
      <c r="F104" s="220" t="s">
        <v>242</v>
      </c>
    </row>
    <row r="105" spans="3:6" ht="20.100000000000001" customHeight="1">
      <c r="E105" s="225">
        <v>2</v>
      </c>
      <c r="F105" s="220" t="s">
        <v>243</v>
      </c>
    </row>
    <row r="106" spans="3:6" ht="20.100000000000001" customHeight="1">
      <c r="E106" s="225">
        <v>2.5</v>
      </c>
      <c r="F106" s="220" t="s">
        <v>244</v>
      </c>
    </row>
    <row r="107" spans="3:6" ht="20.100000000000001" customHeight="1">
      <c r="E107" s="225">
        <v>3</v>
      </c>
      <c r="F107" s="220" t="s">
        <v>245</v>
      </c>
    </row>
    <row r="108" spans="3:6" ht="20.100000000000001" customHeight="1">
      <c r="E108" s="225">
        <v>3.5</v>
      </c>
      <c r="F108" s="220" t="s">
        <v>246</v>
      </c>
    </row>
    <row r="109" spans="3:6" ht="20.100000000000001" customHeight="1">
      <c r="E109" s="225">
        <v>4</v>
      </c>
      <c r="F109" s="220" t="s">
        <v>247</v>
      </c>
    </row>
    <row r="110" spans="3:6" ht="20.100000000000001" customHeight="1">
      <c r="E110" s="225">
        <v>4.5</v>
      </c>
      <c r="F110" s="220" t="s">
        <v>248</v>
      </c>
    </row>
    <row r="111" spans="3:6" ht="20.100000000000001" customHeight="1">
      <c r="E111" s="225">
        <v>5</v>
      </c>
      <c r="F111" s="220" t="s">
        <v>249</v>
      </c>
    </row>
    <row r="112" spans="3:6" ht="20.100000000000001" customHeight="1">
      <c r="E112" s="225">
        <v>5.5</v>
      </c>
      <c r="F112" s="220" t="s">
        <v>250</v>
      </c>
    </row>
    <row r="113" spans="5:6" ht="20.100000000000001" customHeight="1">
      <c r="E113" s="225">
        <v>6</v>
      </c>
      <c r="F113" s="220" t="s">
        <v>251</v>
      </c>
    </row>
    <row r="114" spans="5:6" ht="20.100000000000001" customHeight="1">
      <c r="E114" s="225">
        <v>6.5</v>
      </c>
      <c r="F114" s="220" t="s">
        <v>252</v>
      </c>
    </row>
    <row r="115" spans="5:6" ht="20.100000000000001" customHeight="1">
      <c r="E115" s="225">
        <v>7</v>
      </c>
      <c r="F115" s="220" t="s">
        <v>253</v>
      </c>
    </row>
    <row r="116" spans="5:6" ht="20.100000000000001" customHeight="1">
      <c r="E116" s="225">
        <v>7.5</v>
      </c>
      <c r="F116" s="220" t="s">
        <v>254</v>
      </c>
    </row>
    <row r="117" spans="5:6" ht="20.100000000000001" customHeight="1">
      <c r="E117" s="225">
        <v>8</v>
      </c>
      <c r="F117" s="220" t="s">
        <v>255</v>
      </c>
    </row>
    <row r="118" spans="5:6" ht="20.100000000000001" customHeight="1">
      <c r="E118" s="225">
        <v>8.5</v>
      </c>
      <c r="F118" s="220" t="s">
        <v>256</v>
      </c>
    </row>
    <row r="119" spans="5:6" ht="20.100000000000001" customHeight="1">
      <c r="E119" s="225">
        <v>9</v>
      </c>
      <c r="F119" s="220" t="s">
        <v>257</v>
      </c>
    </row>
    <row r="120" spans="5:6" ht="20.100000000000001" customHeight="1">
      <c r="E120" s="225">
        <v>9.5</v>
      </c>
      <c r="F120" s="220" t="s">
        <v>258</v>
      </c>
    </row>
    <row r="121" spans="5:6" ht="20.100000000000001" customHeight="1">
      <c r="E121" s="225">
        <v>10</v>
      </c>
      <c r="F121" s="220" t="s">
        <v>259</v>
      </c>
    </row>
    <row r="122" spans="5:6" ht="20.100000000000001" customHeight="1">
      <c r="E122" s="225">
        <v>10.5</v>
      </c>
      <c r="F122" s="220" t="s">
        <v>260</v>
      </c>
    </row>
    <row r="123" spans="5:6" ht="20.100000000000001" customHeight="1">
      <c r="E123" s="225">
        <v>11</v>
      </c>
      <c r="F123" s="220" t="s">
        <v>261</v>
      </c>
    </row>
    <row r="124" spans="5:6" ht="20.100000000000001" customHeight="1">
      <c r="E124" s="225">
        <v>11.5</v>
      </c>
      <c r="F124" s="220" t="s">
        <v>262</v>
      </c>
    </row>
    <row r="125" spans="5:6" ht="20.100000000000001" customHeight="1">
      <c r="E125" s="225">
        <v>12</v>
      </c>
      <c r="F125" s="220" t="s">
        <v>263</v>
      </c>
    </row>
    <row r="126" spans="5:6" ht="20.100000000000001" customHeight="1">
      <c r="E126" s="225">
        <v>12.5</v>
      </c>
      <c r="F126" s="220" t="s">
        <v>264</v>
      </c>
    </row>
    <row r="127" spans="5:6" ht="20.100000000000001" customHeight="1">
      <c r="E127" s="225">
        <v>13</v>
      </c>
      <c r="F127" s="220" t="s">
        <v>265</v>
      </c>
    </row>
    <row r="128" spans="5:6" ht="20.100000000000001" customHeight="1">
      <c r="E128" s="225">
        <v>13.5</v>
      </c>
      <c r="F128" s="220" t="s">
        <v>266</v>
      </c>
    </row>
    <row r="129" spans="5:6" ht="20.100000000000001" customHeight="1">
      <c r="E129" s="225">
        <v>14</v>
      </c>
      <c r="F129" s="220" t="s">
        <v>267</v>
      </c>
    </row>
    <row r="130" spans="5:6" ht="20.100000000000001" customHeight="1">
      <c r="E130" s="225">
        <v>14.5</v>
      </c>
      <c r="F130" s="220" t="s">
        <v>268</v>
      </c>
    </row>
    <row r="131" spans="5:6" ht="20.100000000000001" customHeight="1">
      <c r="E131" s="225">
        <v>15</v>
      </c>
      <c r="F131" s="220" t="s">
        <v>269</v>
      </c>
    </row>
    <row r="132" spans="5:6" ht="20.100000000000001" customHeight="1">
      <c r="E132" s="225">
        <v>15.5</v>
      </c>
      <c r="F132" s="220" t="s">
        <v>270</v>
      </c>
    </row>
    <row r="133" spans="5:6" ht="20.100000000000001" customHeight="1">
      <c r="E133" s="225">
        <v>16</v>
      </c>
      <c r="F133" s="220" t="s">
        <v>271</v>
      </c>
    </row>
    <row r="134" spans="5:6" ht="20.100000000000001" customHeight="1">
      <c r="E134" s="225">
        <v>16.5</v>
      </c>
      <c r="F134" s="220" t="s">
        <v>272</v>
      </c>
    </row>
    <row r="135" spans="5:6" ht="20.100000000000001" customHeight="1">
      <c r="E135" s="225">
        <v>17</v>
      </c>
      <c r="F135" s="220" t="s">
        <v>273</v>
      </c>
    </row>
    <row r="136" spans="5:6" ht="20.100000000000001" customHeight="1">
      <c r="E136" s="225">
        <v>17.5</v>
      </c>
      <c r="F136" s="220" t="s">
        <v>274</v>
      </c>
    </row>
    <row r="137" spans="5:6" ht="20.100000000000001" customHeight="1">
      <c r="E137" s="225">
        <v>18</v>
      </c>
      <c r="F137" s="220" t="s">
        <v>275</v>
      </c>
    </row>
    <row r="138" spans="5:6" ht="20.100000000000001" customHeight="1">
      <c r="E138" s="225">
        <v>18.5</v>
      </c>
      <c r="F138" s="220" t="s">
        <v>276</v>
      </c>
    </row>
    <row r="139" spans="5:6" ht="20.100000000000001" customHeight="1">
      <c r="E139" s="225">
        <v>19</v>
      </c>
      <c r="F139" s="220" t="s">
        <v>277</v>
      </c>
    </row>
    <row r="140" spans="5:6" ht="20.100000000000001" customHeight="1">
      <c r="E140" s="225">
        <v>19.5</v>
      </c>
      <c r="F140" s="220" t="s">
        <v>278</v>
      </c>
    </row>
    <row r="141" spans="5:6" ht="20.100000000000001" customHeight="1">
      <c r="E141" s="225">
        <v>20</v>
      </c>
      <c r="F141" s="220" t="s">
        <v>279</v>
      </c>
    </row>
    <row r="142" spans="5:6" ht="20.100000000000001" customHeight="1">
      <c r="E142" s="225">
        <v>20.5</v>
      </c>
      <c r="F142" s="220" t="s">
        <v>280</v>
      </c>
    </row>
    <row r="143" spans="5:6" ht="20.100000000000001" customHeight="1">
      <c r="E143" s="225">
        <v>21</v>
      </c>
      <c r="F143" s="220" t="s">
        <v>281</v>
      </c>
    </row>
    <row r="144" spans="5:6" ht="20.100000000000001" customHeight="1">
      <c r="E144" s="225">
        <v>21.5</v>
      </c>
      <c r="F144" s="220" t="s">
        <v>282</v>
      </c>
    </row>
    <row r="145" spans="5:6" ht="20.100000000000001" customHeight="1">
      <c r="E145" s="225">
        <v>22</v>
      </c>
      <c r="F145" s="220" t="s">
        <v>283</v>
      </c>
    </row>
    <row r="146" spans="5:6" ht="20.100000000000001" customHeight="1">
      <c r="E146" s="225">
        <v>22.5</v>
      </c>
      <c r="F146" s="220" t="s">
        <v>284</v>
      </c>
    </row>
    <row r="147" spans="5:6" ht="20.100000000000001" customHeight="1">
      <c r="E147" s="225">
        <v>23</v>
      </c>
      <c r="F147" s="220" t="s">
        <v>285</v>
      </c>
    </row>
    <row r="148" spans="5:6" ht="20.100000000000001" customHeight="1">
      <c r="E148" s="225">
        <v>23.5</v>
      </c>
      <c r="F148" s="220" t="s">
        <v>286</v>
      </c>
    </row>
    <row r="149" spans="5:6" ht="20.100000000000001" customHeight="1">
      <c r="E149" s="225">
        <v>24</v>
      </c>
      <c r="F149" s="220" t="s">
        <v>287</v>
      </c>
    </row>
    <row r="150" spans="5:6" ht="20.100000000000001" customHeight="1">
      <c r="E150" s="225">
        <v>24.5</v>
      </c>
      <c r="F150" s="220" t="s">
        <v>288</v>
      </c>
    </row>
    <row r="151" spans="5:6" ht="20.100000000000001" customHeight="1">
      <c r="E151" s="225">
        <v>25</v>
      </c>
      <c r="F151" s="220" t="s">
        <v>289</v>
      </c>
    </row>
    <row r="152" spans="5:6" ht="20.100000000000001" customHeight="1">
      <c r="E152" s="225">
        <v>25.5</v>
      </c>
      <c r="F152" s="220" t="s">
        <v>290</v>
      </c>
    </row>
    <row r="153" spans="5:6" ht="20.100000000000001" customHeight="1">
      <c r="E153" s="225">
        <v>26</v>
      </c>
      <c r="F153" s="220" t="s">
        <v>291</v>
      </c>
    </row>
    <row r="154" spans="5:6" ht="20.100000000000001" customHeight="1">
      <c r="E154" s="225">
        <v>26.5</v>
      </c>
      <c r="F154" s="220" t="s">
        <v>292</v>
      </c>
    </row>
    <row r="155" spans="5:6" ht="20.100000000000001" customHeight="1">
      <c r="E155" s="225">
        <v>27</v>
      </c>
      <c r="F155" s="220" t="s">
        <v>293</v>
      </c>
    </row>
    <row r="156" spans="5:6" ht="20.100000000000001" customHeight="1">
      <c r="E156" s="225">
        <v>27.5</v>
      </c>
      <c r="F156" s="220" t="s">
        <v>294</v>
      </c>
    </row>
    <row r="157" spans="5:6" ht="20.100000000000001" customHeight="1">
      <c r="E157" s="225">
        <v>28</v>
      </c>
      <c r="F157" s="220" t="s">
        <v>295</v>
      </c>
    </row>
    <row r="158" spans="5:6" ht="20.100000000000001" customHeight="1">
      <c r="E158" s="225">
        <v>28.5</v>
      </c>
      <c r="F158" s="220" t="s">
        <v>296</v>
      </c>
    </row>
    <row r="159" spans="5:6" ht="20.100000000000001" customHeight="1">
      <c r="E159" s="225">
        <v>29</v>
      </c>
      <c r="F159" s="220" t="s">
        <v>297</v>
      </c>
    </row>
    <row r="160" spans="5:6" ht="20.100000000000001" customHeight="1">
      <c r="E160" s="225">
        <v>29.5</v>
      </c>
      <c r="F160" s="220" t="s">
        <v>298</v>
      </c>
    </row>
    <row r="161" spans="5:6" ht="20.100000000000001" customHeight="1">
      <c r="E161" s="225">
        <v>30</v>
      </c>
      <c r="F161" s="220" t="s">
        <v>299</v>
      </c>
    </row>
    <row r="162" spans="5:6" ht="20.100000000000001" customHeight="1">
      <c r="E162" s="225">
        <v>30.5</v>
      </c>
      <c r="F162" s="220" t="s">
        <v>300</v>
      </c>
    </row>
    <row r="163" spans="5:6" ht="20.100000000000001" customHeight="1">
      <c r="E163" s="225">
        <v>31</v>
      </c>
      <c r="F163" s="220" t="s">
        <v>301</v>
      </c>
    </row>
    <row r="164" spans="5:6" ht="20.100000000000001" customHeight="1">
      <c r="E164" s="225">
        <v>31.5</v>
      </c>
      <c r="F164" s="220" t="s">
        <v>302</v>
      </c>
    </row>
    <row r="165" spans="5:6" ht="20.100000000000001" customHeight="1">
      <c r="E165" s="225">
        <v>32</v>
      </c>
      <c r="F165" s="220" t="s">
        <v>303</v>
      </c>
    </row>
    <row r="166" spans="5:6" ht="20.100000000000001" customHeight="1">
      <c r="E166" s="225">
        <v>32.5</v>
      </c>
      <c r="F166" s="220" t="s">
        <v>304</v>
      </c>
    </row>
    <row r="167" spans="5:6" ht="20.100000000000001" customHeight="1">
      <c r="E167" s="225">
        <v>33</v>
      </c>
      <c r="F167" s="220" t="s">
        <v>305</v>
      </c>
    </row>
    <row r="168" spans="5:6" ht="20.100000000000001" customHeight="1">
      <c r="E168" s="225">
        <v>33.5</v>
      </c>
      <c r="F168" s="220" t="s">
        <v>306</v>
      </c>
    </row>
    <row r="169" spans="5:6" ht="20.100000000000001" customHeight="1">
      <c r="E169" s="225">
        <v>34</v>
      </c>
      <c r="F169" s="220" t="s">
        <v>307</v>
      </c>
    </row>
    <row r="170" spans="5:6" ht="20.100000000000001" customHeight="1">
      <c r="E170" s="225">
        <v>34.5</v>
      </c>
      <c r="F170" s="220" t="s">
        <v>308</v>
      </c>
    </row>
    <row r="171" spans="5:6" ht="20.100000000000001" customHeight="1">
      <c r="E171" s="225">
        <v>35</v>
      </c>
      <c r="F171" s="220" t="s">
        <v>309</v>
      </c>
    </row>
    <row r="172" spans="5:6" ht="20.100000000000001" customHeight="1">
      <c r="E172" s="225">
        <v>35.5</v>
      </c>
      <c r="F172" s="220" t="s">
        <v>310</v>
      </c>
    </row>
    <row r="173" spans="5:6" ht="20.100000000000001" customHeight="1">
      <c r="E173" s="225">
        <v>36</v>
      </c>
      <c r="F173" s="220" t="s">
        <v>311</v>
      </c>
    </row>
    <row r="174" spans="5:6" ht="20.100000000000001" customHeight="1">
      <c r="E174" s="225">
        <v>36.5</v>
      </c>
      <c r="F174" s="220" t="s">
        <v>312</v>
      </c>
    </row>
    <row r="175" spans="5:6" ht="20.100000000000001" customHeight="1">
      <c r="E175" s="225">
        <v>37</v>
      </c>
      <c r="F175" s="220" t="s">
        <v>313</v>
      </c>
    </row>
    <row r="176" spans="5:6" ht="20.100000000000001" customHeight="1">
      <c r="E176" s="225">
        <v>37.5</v>
      </c>
      <c r="F176" s="220" t="s">
        <v>314</v>
      </c>
    </row>
    <row r="177" spans="5:6" ht="20.100000000000001" customHeight="1">
      <c r="E177" s="225">
        <v>38</v>
      </c>
      <c r="F177" s="220" t="s">
        <v>315</v>
      </c>
    </row>
    <row r="178" spans="5:6" ht="20.100000000000001" customHeight="1">
      <c r="E178" s="225">
        <v>38.5</v>
      </c>
      <c r="F178" s="220" t="s">
        <v>316</v>
      </c>
    </row>
    <row r="179" spans="5:6" ht="20.100000000000001" customHeight="1">
      <c r="E179" s="225">
        <v>39</v>
      </c>
      <c r="F179" s="220" t="s">
        <v>317</v>
      </c>
    </row>
    <row r="180" spans="5:6" ht="20.100000000000001" customHeight="1">
      <c r="E180" s="225">
        <v>39.5</v>
      </c>
      <c r="F180" s="220" t="s">
        <v>318</v>
      </c>
    </row>
    <row r="181" spans="5:6" ht="20.100000000000001" customHeight="1">
      <c r="E181" s="225">
        <v>40</v>
      </c>
      <c r="F181" s="220" t="s">
        <v>319</v>
      </c>
    </row>
  </sheetData>
  <mergeCells count="3">
    <mergeCell ref="D22:E22"/>
    <mergeCell ref="E2:F2"/>
    <mergeCell ref="E100:F100"/>
  </mergeCells>
  <hyperlinks>
    <hyperlink ref="C2" r:id="rId1" display="Раух"/>
    <hyperlink ref="C77" r:id="rId2"/>
    <hyperlink ref="C6" r:id="rId3" display="Кара-Пилс малц"/>
    <hyperlink ref="C5" r:id="rId4"/>
    <hyperlink ref="C79" r:id="rId5"/>
  </hyperlinks>
  <pageMargins left="0.25" right="0.25" top="0.75" bottom="0.75" header="0.3" footer="0.3"/>
  <pageSetup paperSize="9" orientation="portrait" r:id="rId6"/>
  <headerFooter>
    <oddFooter>&amp;L&amp;D&amp;C&amp;A&amp;Rстр &amp;P от &amp;N</oddFooter>
  </headerFooter>
</worksheet>
</file>

<file path=xl/worksheets/sheet7.xml><?xml version="1.0" encoding="utf-8"?>
<worksheet xmlns="http://schemas.openxmlformats.org/spreadsheetml/2006/main" xmlns:r="http://schemas.openxmlformats.org/officeDocument/2006/relationships">
  <dimension ref="B1:Q170"/>
  <sheetViews>
    <sheetView topLeftCell="A23" workbookViewId="0">
      <selection activeCell="A26" sqref="A26:XFD26"/>
    </sheetView>
  </sheetViews>
  <sheetFormatPr defaultRowHeight="27" customHeight="1"/>
  <cols>
    <col min="1" max="1" width="2.85546875" style="261" customWidth="1"/>
    <col min="2" max="2" width="3.7109375" style="243" customWidth="1"/>
    <col min="3" max="3" width="58.7109375" style="261" customWidth="1"/>
    <col min="4" max="9" width="11.7109375" style="261" customWidth="1"/>
    <col min="10" max="12" width="11.7109375" style="270" customWidth="1"/>
    <col min="13" max="14" width="8.7109375" style="261" customWidth="1"/>
    <col min="15" max="15" width="8.7109375" style="272" customWidth="1"/>
    <col min="16" max="16" width="8.7109375" style="270" customWidth="1"/>
    <col min="17" max="19" width="8.7109375" style="261" customWidth="1"/>
    <col min="20" max="16384" width="9.140625" style="261"/>
  </cols>
  <sheetData>
    <row r="1" spans="2:17" s="244" customFormat="1" ht="27" customHeight="1">
      <c r="B1" s="243"/>
      <c r="D1" s="245" t="s">
        <v>221</v>
      </c>
      <c r="E1" s="245" t="s">
        <v>349</v>
      </c>
      <c r="F1" s="245" t="s">
        <v>144</v>
      </c>
      <c r="J1" s="246"/>
      <c r="K1" s="246"/>
      <c r="L1" s="246"/>
      <c r="O1" s="247"/>
      <c r="P1" s="246"/>
    </row>
    <row r="2" spans="2:17" s="244" customFormat="1" ht="27" customHeight="1">
      <c r="B2" s="243"/>
      <c r="C2" s="364" t="s">
        <v>207</v>
      </c>
      <c r="D2" s="245" t="s">
        <v>344</v>
      </c>
      <c r="E2" s="248">
        <v>4</v>
      </c>
      <c r="F2" s="249">
        <v>42335</v>
      </c>
      <c r="M2" s="246"/>
    </row>
    <row r="3" spans="2:17" s="244" customFormat="1" ht="27" customHeight="1">
      <c r="B3" s="243"/>
      <c r="C3" s="250" t="s">
        <v>434</v>
      </c>
      <c r="D3" s="245"/>
      <c r="E3" s="248"/>
      <c r="F3" s="249"/>
      <c r="M3" s="246"/>
    </row>
    <row r="4" spans="2:17" s="244" customFormat="1" ht="27" customHeight="1">
      <c r="B4" s="243"/>
      <c r="C4" s="250" t="s">
        <v>342</v>
      </c>
      <c r="D4" s="251" t="s">
        <v>95</v>
      </c>
      <c r="E4" s="251" t="s">
        <v>385</v>
      </c>
      <c r="F4" s="251" t="s">
        <v>387</v>
      </c>
      <c r="G4" s="251" t="s">
        <v>39</v>
      </c>
      <c r="M4" s="246"/>
    </row>
    <row r="5" spans="2:17" s="244" customFormat="1" ht="27" customHeight="1">
      <c r="B5" s="243"/>
      <c r="C5" s="250" t="s">
        <v>343</v>
      </c>
      <c r="D5" s="252">
        <v>6</v>
      </c>
      <c r="E5" s="253">
        <f>D5*6</f>
        <v>36</v>
      </c>
      <c r="F5" s="253">
        <f>D5*5</f>
        <v>30</v>
      </c>
      <c r="G5" s="254">
        <f>F5*2</f>
        <v>60</v>
      </c>
      <c r="M5" s="246"/>
    </row>
    <row r="6" spans="2:17" s="244" customFormat="1" ht="27" customHeight="1">
      <c r="B6" s="243"/>
      <c r="C6" s="250" t="s">
        <v>347</v>
      </c>
      <c r="D6" s="255"/>
      <c r="E6" s="255"/>
      <c r="F6" s="255"/>
      <c r="G6" s="255"/>
      <c r="M6" s="246"/>
    </row>
    <row r="7" spans="2:17" s="244" customFormat="1" ht="27" customHeight="1">
      <c r="B7" s="243"/>
      <c r="C7" s="250" t="s">
        <v>352</v>
      </c>
      <c r="D7" s="251" t="s">
        <v>386</v>
      </c>
      <c r="E7" s="251" t="s">
        <v>46</v>
      </c>
      <c r="F7" s="251" t="s">
        <v>47</v>
      </c>
      <c r="G7" s="251" t="s">
        <v>98</v>
      </c>
      <c r="M7" s="246"/>
    </row>
    <row r="8" spans="2:17" s="244" customFormat="1" ht="27" customHeight="1">
      <c r="B8" s="243"/>
      <c r="C8" s="250" t="s">
        <v>346</v>
      </c>
      <c r="D8" s="256">
        <f>SUM(G11:G31)</f>
        <v>39.99</v>
      </c>
      <c r="E8" s="257">
        <f>D8/G5</f>
        <v>0.66649999999999998</v>
      </c>
      <c r="F8" s="257">
        <v>1.5</v>
      </c>
      <c r="G8" s="256">
        <f>G5*(F8-E8)</f>
        <v>50.01</v>
      </c>
      <c r="M8" s="246"/>
    </row>
    <row r="9" spans="2:17" s="244" customFormat="1" ht="27" customHeight="1">
      <c r="B9" s="243"/>
      <c r="C9" s="250" t="s">
        <v>350</v>
      </c>
      <c r="D9" s="245"/>
      <c r="E9" s="248"/>
      <c r="F9" s="249"/>
      <c r="M9" s="246"/>
    </row>
    <row r="10" spans="2:17" s="244" customFormat="1" ht="27" customHeight="1">
      <c r="B10" s="243"/>
      <c r="C10" s="258"/>
      <c r="D10" s="245"/>
      <c r="E10" s="248"/>
      <c r="F10" s="249"/>
      <c r="M10" s="246"/>
    </row>
    <row r="11" spans="2:17" s="244" customFormat="1" ht="27" customHeight="1">
      <c r="B11" s="243"/>
      <c r="C11" s="259" t="s">
        <v>95</v>
      </c>
      <c r="D11" s="260" t="s">
        <v>42</v>
      </c>
      <c r="E11" s="260" t="s">
        <v>354</v>
      </c>
      <c r="F11" s="260" t="s">
        <v>41</v>
      </c>
      <c r="G11" s="245" t="s">
        <v>41</v>
      </c>
      <c r="H11" s="261"/>
      <c r="K11" s="262"/>
      <c r="L11" s="263"/>
      <c r="N11" s="264"/>
      <c r="P11" s="247"/>
      <c r="Q11" s="264"/>
    </row>
    <row r="12" spans="2:17" ht="27" customHeight="1">
      <c r="B12" s="243">
        <v>1</v>
      </c>
      <c r="C12" s="265" t="s">
        <v>409</v>
      </c>
      <c r="D12" s="266">
        <f>D5*E12</f>
        <v>4.1999999999999993</v>
      </c>
      <c r="E12" s="267">
        <v>0.7</v>
      </c>
      <c r="F12" s="363">
        <v>2.1</v>
      </c>
      <c r="G12" s="269">
        <f>D12*F12</f>
        <v>8.8199999999999985</v>
      </c>
      <c r="J12" s="261"/>
      <c r="K12" s="261"/>
      <c r="N12" s="271"/>
      <c r="O12" s="261"/>
      <c r="P12" s="272"/>
      <c r="Q12" s="271"/>
    </row>
    <row r="13" spans="2:17" ht="27" customHeight="1">
      <c r="B13" s="243">
        <v>2</v>
      </c>
      <c r="C13" s="273" t="s">
        <v>410</v>
      </c>
      <c r="D13" s="266">
        <f>D5*E13</f>
        <v>1.6800000000000002</v>
      </c>
      <c r="E13" s="267">
        <v>0.28000000000000003</v>
      </c>
      <c r="F13" s="363">
        <v>2.5499999999999998</v>
      </c>
      <c r="G13" s="284">
        <f>D13*F13</f>
        <v>4.2839999999999998</v>
      </c>
      <c r="J13" s="261"/>
      <c r="K13" s="261"/>
      <c r="N13" s="264"/>
      <c r="O13" s="261"/>
      <c r="P13" s="264"/>
      <c r="Q13" s="270"/>
    </row>
    <row r="14" spans="2:17" ht="27" customHeight="1">
      <c r="B14" s="243">
        <v>3</v>
      </c>
      <c r="C14" s="273" t="s">
        <v>411</v>
      </c>
      <c r="D14" s="266">
        <f>D5*E14</f>
        <v>0.12</v>
      </c>
      <c r="E14" s="267">
        <v>0.02</v>
      </c>
      <c r="F14" s="363">
        <v>2.5499999999999998</v>
      </c>
      <c r="G14" s="274">
        <f>D14*F14</f>
        <v>0.30599999999999999</v>
      </c>
      <c r="J14" s="261"/>
      <c r="K14" s="261"/>
      <c r="N14" s="264"/>
      <c r="O14" s="261"/>
      <c r="P14" s="264"/>
      <c r="Q14" s="270"/>
    </row>
    <row r="15" spans="2:17" s="255" customFormat="1" ht="27" customHeight="1">
      <c r="B15" s="275"/>
      <c r="C15" s="261"/>
      <c r="D15" s="276"/>
      <c r="E15" s="277"/>
      <c r="F15" s="278"/>
      <c r="G15" s="279"/>
      <c r="N15" s="264"/>
      <c r="Q15" s="264"/>
    </row>
    <row r="16" spans="2:17" s="255" customFormat="1" ht="27" customHeight="1">
      <c r="B16" s="275"/>
      <c r="C16" s="259" t="s">
        <v>337</v>
      </c>
      <c r="D16" s="260" t="s">
        <v>216</v>
      </c>
      <c r="E16" s="280" t="s">
        <v>335</v>
      </c>
      <c r="F16" s="281" t="s">
        <v>336</v>
      </c>
      <c r="G16" s="279"/>
      <c r="N16" s="264"/>
      <c r="Q16" s="264"/>
    </row>
    <row r="17" spans="2:17" ht="27" customHeight="1">
      <c r="B17" s="243">
        <v>4</v>
      </c>
      <c r="C17" s="265" t="s">
        <v>395</v>
      </c>
      <c r="D17" s="282">
        <f>E17*E5</f>
        <v>21.599999999999998</v>
      </c>
      <c r="E17" s="283">
        <v>0.6</v>
      </c>
      <c r="F17" s="363">
        <v>49.5</v>
      </c>
      <c r="G17" s="269">
        <f>(D17/1000)*F17</f>
        <v>1.0691999999999999</v>
      </c>
      <c r="J17" s="261"/>
      <c r="K17" s="261"/>
      <c r="N17" s="264"/>
      <c r="O17" s="261"/>
      <c r="P17" s="272"/>
      <c r="Q17" s="264"/>
    </row>
    <row r="18" spans="2:17" ht="27" customHeight="1">
      <c r="B18" s="243">
        <v>5</v>
      </c>
      <c r="C18" s="265" t="s">
        <v>400</v>
      </c>
      <c r="D18" s="282">
        <f>E18*E5</f>
        <v>21.599999999999998</v>
      </c>
      <c r="E18" s="283">
        <v>0.6</v>
      </c>
      <c r="F18" s="363">
        <v>58</v>
      </c>
      <c r="G18" s="284">
        <f>(D18/1000)*F18</f>
        <v>1.2527999999999999</v>
      </c>
      <c r="J18" s="261"/>
      <c r="K18" s="261"/>
      <c r="N18" s="264"/>
      <c r="O18" s="261"/>
      <c r="P18" s="264"/>
      <c r="Q18" s="264"/>
    </row>
    <row r="19" spans="2:17" ht="27" customHeight="1">
      <c r="B19" s="243">
        <v>6</v>
      </c>
      <c r="C19" s="265" t="s">
        <v>396</v>
      </c>
      <c r="D19" s="282">
        <f>E19*E5</f>
        <v>36</v>
      </c>
      <c r="E19" s="283">
        <v>1</v>
      </c>
      <c r="F19" s="363">
        <v>58</v>
      </c>
      <c r="G19" s="274">
        <f>(D19/1000)*F19</f>
        <v>2.0879999999999996</v>
      </c>
      <c r="H19" s="285"/>
      <c r="J19" s="285"/>
      <c r="K19" s="285"/>
      <c r="L19" s="286"/>
      <c r="N19" s="264"/>
      <c r="O19" s="261"/>
      <c r="P19" s="264"/>
      <c r="Q19" s="264"/>
    </row>
    <row r="20" spans="2:17" s="255" customFormat="1" ht="27" customHeight="1">
      <c r="B20" s="275"/>
      <c r="C20" s="261"/>
      <c r="D20" s="277"/>
      <c r="E20" s="276"/>
      <c r="F20" s="278"/>
      <c r="G20" s="279"/>
      <c r="N20" s="264"/>
      <c r="Q20" s="264"/>
    </row>
    <row r="21" spans="2:17" s="255" customFormat="1" ht="27" customHeight="1">
      <c r="B21" s="275"/>
      <c r="C21" s="259" t="s">
        <v>355</v>
      </c>
      <c r="D21" s="280"/>
      <c r="E21" s="260" t="s">
        <v>351</v>
      </c>
      <c r="F21" s="281" t="s">
        <v>336</v>
      </c>
      <c r="G21" s="279"/>
      <c r="N21" s="264"/>
      <c r="Q21" s="264"/>
    </row>
    <row r="22" spans="2:17" ht="27" customHeight="1">
      <c r="B22" s="243">
        <v>7</v>
      </c>
      <c r="C22" s="152" t="s">
        <v>338</v>
      </c>
      <c r="D22" s="287"/>
      <c r="E22" s="288">
        <v>1</v>
      </c>
      <c r="F22" s="363">
        <v>3.99</v>
      </c>
      <c r="G22" s="269">
        <f>E22*F22</f>
        <v>3.99</v>
      </c>
      <c r="I22" s="289"/>
      <c r="K22" s="261"/>
      <c r="L22" s="261"/>
      <c r="N22" s="290"/>
      <c r="O22" s="261"/>
      <c r="P22" s="290"/>
      <c r="Q22" s="290"/>
    </row>
    <row r="23" spans="2:17" ht="27" customHeight="1">
      <c r="B23" s="243">
        <v>8</v>
      </c>
      <c r="C23" s="265" t="s">
        <v>405</v>
      </c>
      <c r="D23" s="287"/>
      <c r="E23" s="288"/>
      <c r="F23" s="363"/>
      <c r="G23" s="284"/>
      <c r="I23" s="289"/>
      <c r="K23" s="261"/>
      <c r="L23" s="261"/>
      <c r="N23" s="290"/>
      <c r="O23" s="261"/>
      <c r="P23" s="290"/>
      <c r="Q23" s="290"/>
    </row>
    <row r="24" spans="2:17" ht="27" customHeight="1">
      <c r="B24" s="243">
        <v>9</v>
      </c>
      <c r="C24" s="265" t="s">
        <v>25</v>
      </c>
      <c r="D24" s="267"/>
      <c r="E24" s="288">
        <f>G5</f>
        <v>60</v>
      </c>
      <c r="F24" s="363">
        <v>2.8000000000000001E-2</v>
      </c>
      <c r="G24" s="284">
        <f>E24*F24</f>
        <v>1.68</v>
      </c>
      <c r="J24" s="261"/>
      <c r="K24" s="261"/>
      <c r="N24" s="264"/>
      <c r="O24" s="261"/>
      <c r="P24" s="264"/>
      <c r="Q24" s="270"/>
    </row>
    <row r="25" spans="2:17" ht="27" customHeight="1">
      <c r="B25" s="243">
        <v>10</v>
      </c>
      <c r="C25" s="265" t="s">
        <v>356</v>
      </c>
      <c r="E25" s="291">
        <f>D5</f>
        <v>6</v>
      </c>
      <c r="F25" s="363">
        <v>0.25</v>
      </c>
      <c r="G25" s="284">
        <f>E25*F25</f>
        <v>1.5</v>
      </c>
      <c r="J25" s="261"/>
      <c r="K25" s="261"/>
      <c r="L25" s="261"/>
      <c r="M25" s="292"/>
      <c r="O25" s="261"/>
      <c r="P25" s="261"/>
    </row>
    <row r="26" spans="2:17" ht="27" customHeight="1">
      <c r="B26" s="243">
        <v>11</v>
      </c>
      <c r="C26" s="265" t="s">
        <v>401</v>
      </c>
      <c r="E26" s="291">
        <v>1</v>
      </c>
      <c r="F26" s="363">
        <v>2</v>
      </c>
      <c r="G26" s="274">
        <f>E26*F26</f>
        <v>2</v>
      </c>
      <c r="J26" s="261"/>
      <c r="K26" s="261"/>
      <c r="L26" s="261"/>
      <c r="M26" s="292"/>
      <c r="O26" s="261"/>
      <c r="P26" s="261"/>
    </row>
    <row r="27" spans="2:17" ht="27" customHeight="1">
      <c r="F27" s="268"/>
      <c r="I27" s="270"/>
      <c r="K27" s="261"/>
      <c r="L27" s="261"/>
      <c r="O27" s="261"/>
      <c r="P27" s="261"/>
    </row>
    <row r="28" spans="2:17" ht="27" customHeight="1">
      <c r="C28" s="293" t="s">
        <v>43</v>
      </c>
      <c r="F28" s="268"/>
      <c r="G28" s="294">
        <v>5</v>
      </c>
      <c r="I28" s="270"/>
      <c r="K28" s="261"/>
      <c r="L28" s="261"/>
      <c r="O28" s="261"/>
      <c r="P28" s="261"/>
    </row>
    <row r="29" spans="2:17" ht="27" customHeight="1">
      <c r="C29" s="261" t="s">
        <v>52</v>
      </c>
      <c r="F29" s="268"/>
      <c r="G29" s="295">
        <v>8</v>
      </c>
      <c r="I29" s="270"/>
      <c r="K29" s="261"/>
      <c r="L29" s="261"/>
      <c r="O29" s="261"/>
      <c r="P29" s="261"/>
    </row>
    <row r="30" spans="2:17" ht="27" customHeight="1">
      <c r="C30" s="261" t="s">
        <v>26</v>
      </c>
      <c r="F30" s="268"/>
      <c r="G30" s="295"/>
      <c r="I30" s="270"/>
      <c r="K30" s="261"/>
      <c r="L30" s="261"/>
      <c r="M30" s="292"/>
      <c r="O30" s="261"/>
      <c r="P30" s="261"/>
    </row>
    <row r="31" spans="2:17" ht="27" customHeight="1">
      <c r="C31" s="261" t="s">
        <v>172</v>
      </c>
      <c r="F31" s="268"/>
      <c r="G31" s="296"/>
      <c r="I31" s="270"/>
      <c r="K31" s="261"/>
      <c r="L31" s="261"/>
      <c r="M31" s="292"/>
      <c r="O31" s="261"/>
      <c r="P31" s="261"/>
    </row>
    <row r="32" spans="2:17" ht="27" customHeight="1">
      <c r="E32" s="297"/>
      <c r="G32" s="297"/>
      <c r="I32" s="317"/>
      <c r="J32" s="261"/>
      <c r="K32" s="261"/>
      <c r="L32" s="298"/>
      <c r="M32" s="292"/>
      <c r="O32" s="261"/>
      <c r="P32" s="261"/>
    </row>
    <row r="33" spans="2:16" ht="27" customHeight="1">
      <c r="C33" s="299" t="s">
        <v>217</v>
      </c>
      <c r="D33" s="373" t="s">
        <v>376</v>
      </c>
      <c r="E33" s="706">
        <v>42330</v>
      </c>
      <c r="F33" s="707"/>
      <c r="I33" s="317"/>
      <c r="J33" s="261"/>
      <c r="K33" s="261"/>
      <c r="L33" s="261"/>
      <c r="O33" s="261"/>
      <c r="P33" s="261"/>
    </row>
    <row r="34" spans="2:16" ht="27" customHeight="1">
      <c r="B34" s="708" t="s">
        <v>348</v>
      </c>
      <c r="C34" s="708"/>
      <c r="D34" s="299" t="s">
        <v>99</v>
      </c>
      <c r="E34" s="299" t="s">
        <v>100</v>
      </c>
      <c r="F34" s="299" t="s">
        <v>101</v>
      </c>
      <c r="I34" s="317"/>
      <c r="J34" s="261"/>
      <c r="K34" s="261"/>
      <c r="L34" s="261"/>
      <c r="O34" s="261"/>
      <c r="P34" s="261"/>
    </row>
    <row r="35" spans="2:16" ht="27" customHeight="1">
      <c r="B35" s="243">
        <v>1</v>
      </c>
      <c r="C35" s="261" t="s">
        <v>424</v>
      </c>
      <c r="D35" s="253">
        <f>D5*3</f>
        <v>18</v>
      </c>
      <c r="E35" s="253">
        <f>D5*6</f>
        <v>36</v>
      </c>
      <c r="F35" s="253">
        <f>SUM(D35:E35)</f>
        <v>54</v>
      </c>
      <c r="G35" s="270"/>
      <c r="J35" s="261"/>
      <c r="K35" s="261"/>
      <c r="L35" s="261"/>
      <c r="O35" s="261"/>
      <c r="P35" s="261"/>
    </row>
    <row r="36" spans="2:16" ht="27" customHeight="1">
      <c r="B36" s="243">
        <v>2</v>
      </c>
      <c r="C36" s="301" t="s">
        <v>431</v>
      </c>
      <c r="D36" s="302"/>
      <c r="E36" s="303"/>
      <c r="F36" s="304"/>
      <c r="J36" s="292"/>
      <c r="K36" s="305"/>
      <c r="L36" s="261"/>
      <c r="O36" s="261"/>
      <c r="P36" s="261"/>
    </row>
    <row r="37" spans="2:16" ht="27" customHeight="1">
      <c r="B37" s="243">
        <v>4</v>
      </c>
      <c r="C37" s="265" t="s">
        <v>430</v>
      </c>
      <c r="D37" s="306">
        <v>1.0416666666666666E-2</v>
      </c>
      <c r="E37" s="303">
        <v>0.55902777777777779</v>
      </c>
      <c r="F37" s="307">
        <f>E37+D37</f>
        <v>0.56944444444444442</v>
      </c>
      <c r="J37" s="292"/>
      <c r="K37" s="305"/>
      <c r="L37" s="261"/>
      <c r="M37" s="305"/>
    </row>
    <row r="38" spans="2:16" ht="27" customHeight="1">
      <c r="B38" s="243">
        <v>4</v>
      </c>
      <c r="C38" s="261" t="s">
        <v>432</v>
      </c>
      <c r="D38" s="306">
        <v>2.7777777777777776E-2</v>
      </c>
      <c r="E38" s="303">
        <v>0.55902777777777779</v>
      </c>
      <c r="F38" s="382">
        <f>E38+D38</f>
        <v>0.58680555555555558</v>
      </c>
      <c r="J38" s="292"/>
      <c r="K38" s="305"/>
      <c r="L38" s="261"/>
      <c r="M38" s="305"/>
    </row>
    <row r="39" spans="2:16" ht="27" customHeight="1">
      <c r="B39" s="243">
        <v>5</v>
      </c>
      <c r="C39" s="261" t="s">
        <v>365</v>
      </c>
      <c r="D39" s="306">
        <v>1.0416666666666666E-2</v>
      </c>
      <c r="E39" s="303">
        <v>0.59375</v>
      </c>
      <c r="F39" s="308">
        <f>E39+D39</f>
        <v>0.60416666666666663</v>
      </c>
      <c r="J39" s="292"/>
      <c r="K39" s="305"/>
      <c r="L39" s="261"/>
    </row>
    <row r="40" spans="2:16" ht="27" customHeight="1">
      <c r="B40" s="243">
        <v>6</v>
      </c>
      <c r="C40" s="261" t="s">
        <v>420</v>
      </c>
      <c r="F40" s="293"/>
      <c r="J40" s="272"/>
      <c r="K40" s="261"/>
    </row>
    <row r="41" spans="2:16" ht="27" customHeight="1">
      <c r="B41" s="243">
        <v>7</v>
      </c>
      <c r="C41" s="301" t="s">
        <v>417</v>
      </c>
    </row>
    <row r="42" spans="2:16" ht="27" customHeight="1">
      <c r="B42" s="243">
        <v>8</v>
      </c>
      <c r="C42" s="309" t="s">
        <v>407</v>
      </c>
      <c r="D42" s="310"/>
      <c r="E42" s="293"/>
      <c r="F42" s="293"/>
    </row>
    <row r="43" spans="2:16" ht="27" customHeight="1">
      <c r="B43" s="243">
        <v>9</v>
      </c>
      <c r="C43" s="244" t="s">
        <v>406</v>
      </c>
      <c r="F43" s="311">
        <v>18</v>
      </c>
    </row>
    <row r="44" spans="2:16" ht="27" customHeight="1">
      <c r="B44" s="243">
        <v>10</v>
      </c>
      <c r="C44" s="261" t="s">
        <v>156</v>
      </c>
      <c r="F44" s="312">
        <v>0</v>
      </c>
    </row>
    <row r="45" spans="2:16" ht="27" customHeight="1">
      <c r="B45" s="243">
        <v>11</v>
      </c>
      <c r="C45" s="244" t="s">
        <v>179</v>
      </c>
      <c r="F45" s="313">
        <v>5</v>
      </c>
    </row>
    <row r="46" spans="2:16" ht="27" customHeight="1">
      <c r="B46" s="243">
        <v>12</v>
      </c>
      <c r="C46" s="309" t="s">
        <v>412</v>
      </c>
      <c r="F46" s="313">
        <v>10</v>
      </c>
      <c r="I46" s="317"/>
    </row>
    <row r="47" spans="2:16" ht="27" customHeight="1">
      <c r="B47" s="243">
        <v>13</v>
      </c>
      <c r="C47" s="309" t="s">
        <v>382</v>
      </c>
      <c r="D47" s="314"/>
      <c r="E47" s="314"/>
      <c r="F47" s="312">
        <v>35</v>
      </c>
    </row>
    <row r="48" spans="2:16" ht="27" customHeight="1">
      <c r="B48" s="243">
        <v>14</v>
      </c>
      <c r="C48" s="301" t="s">
        <v>380</v>
      </c>
      <c r="E48" s="315">
        <v>5.5555555555555552E-2</v>
      </c>
      <c r="F48" s="306">
        <v>0.70138888888888884</v>
      </c>
    </row>
    <row r="49" spans="2:7" ht="27" customHeight="1">
      <c r="B49" s="243">
        <v>15</v>
      </c>
      <c r="C49" s="317" t="str">
        <f>C17</f>
        <v>Магнум - 65м (горчив;  12,7%)</v>
      </c>
      <c r="D49" s="282">
        <f>D17</f>
        <v>21.599999999999998</v>
      </c>
      <c r="E49" s="306">
        <v>4.5138888888888888E-2</v>
      </c>
      <c r="F49" s="379">
        <f>F54-E49</f>
        <v>0.71180555555555558</v>
      </c>
    </row>
    <row r="50" spans="2:7" ht="27" customHeight="1">
      <c r="B50" s="243">
        <v>16</v>
      </c>
      <c r="C50" s="381" t="s">
        <v>422</v>
      </c>
      <c r="D50" s="310"/>
      <c r="E50" s="376"/>
      <c r="F50" s="376"/>
    </row>
    <row r="51" spans="2:7" ht="27" customHeight="1">
      <c r="B51" s="243">
        <v>17</v>
      </c>
      <c r="C51" s="317" t="str">
        <f>C18</f>
        <v>Жатец - 15мин (ароматен;  за мекота;  3,4%)</v>
      </c>
      <c r="D51" s="282">
        <f>D18</f>
        <v>21.599999999999998</v>
      </c>
      <c r="E51" s="306">
        <v>1.0416666666666666E-2</v>
      </c>
      <c r="F51" s="316">
        <f>F54-E51</f>
        <v>0.74652777777777779</v>
      </c>
    </row>
    <row r="52" spans="2:7" ht="27" customHeight="1">
      <c r="B52" s="243">
        <v>18</v>
      </c>
      <c r="C52" s="317" t="str">
        <f>C19</f>
        <v>Жатец - 5м (ароматен;  за аромат;  3,4%)</v>
      </c>
      <c r="D52" s="282">
        <f>D19</f>
        <v>36</v>
      </c>
      <c r="E52" s="306">
        <v>3.472222222222222E-3</v>
      </c>
      <c r="F52" s="318">
        <f>F54-E52</f>
        <v>0.75347222222222221</v>
      </c>
    </row>
    <row r="53" spans="2:7" ht="27" customHeight="1">
      <c r="B53" s="243">
        <v>19</v>
      </c>
      <c r="C53" s="317" t="str">
        <f>C23</f>
        <v>ирландски мъх -  1гр / 20л boil size</v>
      </c>
      <c r="D53" s="282"/>
      <c r="E53" s="306">
        <v>3.472222222222222E-3</v>
      </c>
      <c r="F53" s="318">
        <f>F54-E53</f>
        <v>0.75347222222222221</v>
      </c>
    </row>
    <row r="54" spans="2:7" ht="27" customHeight="1">
      <c r="B54" s="243">
        <v>20</v>
      </c>
      <c r="C54" s="319" t="s">
        <v>340</v>
      </c>
      <c r="E54" s="320"/>
      <c r="F54" s="321">
        <f>F48+E48</f>
        <v>0.75694444444444442</v>
      </c>
      <c r="G54" s="322"/>
    </row>
    <row r="55" spans="2:7" ht="27" customHeight="1">
      <c r="B55" s="243">
        <v>21</v>
      </c>
      <c r="C55" s="293" t="s">
        <v>383</v>
      </c>
      <c r="D55" s="309"/>
      <c r="E55" s="309"/>
      <c r="F55" s="378">
        <v>14</v>
      </c>
      <c r="G55" s="305"/>
    </row>
    <row r="56" spans="2:7" ht="27" customHeight="1">
      <c r="B56" s="243">
        <v>22</v>
      </c>
      <c r="C56" s="309" t="s">
        <v>384</v>
      </c>
      <c r="D56" s="314"/>
      <c r="E56" s="314"/>
      <c r="F56" s="312">
        <v>29</v>
      </c>
    </row>
    <row r="57" spans="2:7" ht="27" customHeight="1">
      <c r="B57" s="243">
        <v>23</v>
      </c>
      <c r="C57" s="381" t="s">
        <v>428</v>
      </c>
      <c r="D57" s="314"/>
      <c r="E57" s="314"/>
      <c r="F57" s="323"/>
    </row>
    <row r="58" spans="2:7" ht="27" customHeight="1">
      <c r="B58" s="243">
        <v>24</v>
      </c>
      <c r="C58" s="261" t="s">
        <v>429</v>
      </c>
      <c r="D58" s="300" t="s">
        <v>392</v>
      </c>
      <c r="E58" s="366"/>
      <c r="F58" s="367"/>
      <c r="G58" s="305"/>
    </row>
    <row r="59" spans="2:7" ht="27" customHeight="1">
      <c r="B59" s="243">
        <v>25</v>
      </c>
      <c r="C59" s="708" t="s">
        <v>391</v>
      </c>
      <c r="D59" s="708"/>
      <c r="E59" s="708"/>
      <c r="F59" s="708"/>
      <c r="G59" s="305"/>
    </row>
    <row r="60" spans="2:7" ht="27" customHeight="1">
      <c r="B60" s="243">
        <v>26</v>
      </c>
      <c r="C60" s="309" t="s">
        <v>423</v>
      </c>
      <c r="D60" s="310"/>
      <c r="E60" s="376"/>
      <c r="F60" s="376"/>
    </row>
    <row r="61" spans="2:7" s="317" customFormat="1" ht="27" customHeight="1">
      <c r="B61" s="243">
        <v>27</v>
      </c>
      <c r="C61" s="365" t="s">
        <v>390</v>
      </c>
      <c r="D61" s="309"/>
      <c r="E61" s="309"/>
      <c r="G61" s="324"/>
    </row>
    <row r="62" spans="2:7" s="317" customFormat="1" ht="27" customHeight="1">
      <c r="B62" s="243">
        <v>28</v>
      </c>
      <c r="C62" s="709" t="s">
        <v>425</v>
      </c>
      <c r="D62" s="709"/>
      <c r="E62" s="309"/>
      <c r="F62" s="313">
        <v>0</v>
      </c>
      <c r="G62" s="324"/>
    </row>
    <row r="63" spans="2:7" ht="27" customHeight="1">
      <c r="B63" s="243">
        <v>29</v>
      </c>
      <c r="C63" s="293" t="s">
        <v>399</v>
      </c>
      <c r="D63" s="309"/>
      <c r="E63" s="309"/>
      <c r="F63" s="309"/>
    </row>
    <row r="65" spans="2:16" s="325" customFormat="1" ht="27" customHeight="1">
      <c r="C65" s="326" t="s">
        <v>71</v>
      </c>
    </row>
    <row r="66" spans="2:16" s="325" customFormat="1" ht="27" customHeight="1">
      <c r="C66" s="327" t="s">
        <v>416</v>
      </c>
      <c r="F66" s="375">
        <v>18</v>
      </c>
    </row>
    <row r="67" spans="2:16" s="325" customFormat="1" ht="27" customHeight="1">
      <c r="C67" s="328" t="s">
        <v>366</v>
      </c>
      <c r="F67" s="329">
        <v>28</v>
      </c>
    </row>
    <row r="68" spans="2:16" s="325" customFormat="1" ht="27" customHeight="1">
      <c r="C68" s="328" t="s">
        <v>75</v>
      </c>
      <c r="F68" s="330">
        <v>6</v>
      </c>
    </row>
    <row r="69" spans="2:16" s="325" customFormat="1" ht="27" customHeight="1">
      <c r="C69" s="328" t="s">
        <v>414</v>
      </c>
      <c r="F69" s="331">
        <f>1*F66*10*80%</f>
        <v>144</v>
      </c>
    </row>
    <row r="70" spans="2:16" s="325" customFormat="1" ht="27" customHeight="1">
      <c r="C70" s="332" t="s">
        <v>415</v>
      </c>
      <c r="F70" s="333">
        <f>F67*F68/F69</f>
        <v>1.1666666666666667</v>
      </c>
    </row>
    <row r="71" spans="2:16" s="325" customFormat="1" ht="27" customHeight="1">
      <c r="C71" s="334"/>
      <c r="E71" s="335"/>
    </row>
    <row r="72" spans="2:16" ht="27" customHeight="1">
      <c r="C72" s="336" t="s">
        <v>202</v>
      </c>
      <c r="D72" s="305"/>
      <c r="E72" s="305"/>
      <c r="F72" s="305"/>
      <c r="J72" s="261"/>
      <c r="K72" s="261"/>
      <c r="L72" s="261"/>
      <c r="O72" s="261"/>
      <c r="P72" s="261"/>
    </row>
    <row r="73" spans="2:16" s="298" customFormat="1" ht="27" customHeight="1">
      <c r="B73" s="337"/>
      <c r="C73" s="338" t="s">
        <v>413</v>
      </c>
      <c r="D73" s="339"/>
      <c r="E73" s="339"/>
      <c r="F73" s="340">
        <f>(F55-F62)*0.52</f>
        <v>7.28</v>
      </c>
      <c r="J73" s="297"/>
      <c r="K73" s="297"/>
      <c r="L73" s="297"/>
      <c r="O73" s="341"/>
      <c r="P73" s="297"/>
    </row>
    <row r="74" spans="2:16" s="298" customFormat="1" ht="27" customHeight="1">
      <c r="B74" s="337"/>
      <c r="C74" s="342" t="s">
        <v>223</v>
      </c>
      <c r="D74" s="339"/>
      <c r="E74" s="339"/>
      <c r="F74" s="343">
        <f>F55</f>
        <v>14</v>
      </c>
      <c r="J74" s="297"/>
      <c r="K74" s="297"/>
      <c r="L74" s="297"/>
      <c r="O74" s="341"/>
      <c r="P74" s="297"/>
    </row>
    <row r="75" spans="2:16" s="298" customFormat="1" ht="27" customHeight="1">
      <c r="B75" s="337"/>
      <c r="C75" s="344" t="s">
        <v>219</v>
      </c>
      <c r="D75" s="345"/>
      <c r="E75" s="345"/>
      <c r="F75" s="346"/>
    </row>
    <row r="76" spans="2:16" s="298" customFormat="1" ht="27" customHeight="1">
      <c r="B76" s="337"/>
      <c r="C76" s="344" t="s">
        <v>218</v>
      </c>
      <c r="D76" s="347"/>
      <c r="F76" s="348"/>
    </row>
    <row r="77" spans="2:16" s="298" customFormat="1" ht="27" customHeight="1">
      <c r="B77" s="337"/>
      <c r="C77" s="349" t="s">
        <v>224</v>
      </c>
      <c r="D77" s="345"/>
      <c r="E77" s="345"/>
      <c r="F77" s="350">
        <f>F55</f>
        <v>14</v>
      </c>
    </row>
    <row r="78" spans="2:16" s="298" customFormat="1" ht="27" customHeight="1">
      <c r="B78" s="337"/>
      <c r="C78" s="351" t="s">
        <v>225</v>
      </c>
      <c r="D78" s="345"/>
      <c r="E78" s="345"/>
      <c r="F78" s="352">
        <f>F62</f>
        <v>0</v>
      </c>
    </row>
    <row r="79" spans="2:16" s="298" customFormat="1" ht="27" customHeight="1">
      <c r="B79" s="337"/>
    </row>
    <row r="80" spans="2:16" s="298" customFormat="1" ht="27" customHeight="1">
      <c r="B80" s="337"/>
      <c r="C80" s="374" t="s">
        <v>154</v>
      </c>
      <c r="F80" s="353">
        <f>((F81*F82)/F83)/100</f>
        <v>0.67666666666666675</v>
      </c>
      <c r="J80" s="297"/>
      <c r="K80" s="297"/>
      <c r="L80" s="297"/>
      <c r="O80" s="341"/>
      <c r="P80" s="297"/>
    </row>
    <row r="81" spans="2:16" s="298" customFormat="1" ht="27" customHeight="1">
      <c r="B81" s="337"/>
      <c r="C81" s="354" t="s">
        <v>408</v>
      </c>
      <c r="F81" s="355">
        <f>F56</f>
        <v>29</v>
      </c>
      <c r="J81" s="297"/>
      <c r="K81" s="297"/>
      <c r="L81" s="297"/>
      <c r="O81" s="341"/>
      <c r="P81" s="297"/>
    </row>
    <row r="82" spans="2:16" s="298" customFormat="1" ht="27" customHeight="1">
      <c r="B82" s="337"/>
      <c r="C82" s="354" t="s">
        <v>361</v>
      </c>
      <c r="F82" s="356">
        <f>F55</f>
        <v>14</v>
      </c>
      <c r="J82" s="297"/>
      <c r="K82" s="297"/>
      <c r="L82" s="297"/>
      <c r="O82" s="341"/>
      <c r="P82" s="297"/>
    </row>
    <row r="83" spans="2:16" s="298" customFormat="1" ht="27" customHeight="1">
      <c r="B83" s="337"/>
      <c r="C83" s="357" t="s">
        <v>153</v>
      </c>
      <c r="F83" s="358">
        <f>D5</f>
        <v>6</v>
      </c>
      <c r="J83" s="297"/>
      <c r="K83" s="297"/>
      <c r="L83" s="297"/>
      <c r="O83" s="341"/>
      <c r="P83" s="297"/>
    </row>
    <row r="84" spans="2:16" s="298" customFormat="1" ht="27" customHeight="1">
      <c r="B84" s="337"/>
      <c r="J84" s="297"/>
      <c r="K84" s="297"/>
      <c r="L84" s="297"/>
      <c r="O84" s="341"/>
      <c r="P84" s="297"/>
    </row>
    <row r="85" spans="2:16" s="298" customFormat="1" ht="27" customHeight="1">
      <c r="B85" s="337"/>
      <c r="C85" s="359" t="s">
        <v>220</v>
      </c>
      <c r="J85" s="297"/>
      <c r="K85" s="297"/>
      <c r="L85" s="297"/>
      <c r="O85" s="341"/>
      <c r="P85" s="297"/>
    </row>
    <row r="86" spans="2:16" s="298" customFormat="1" ht="27" customHeight="1">
      <c r="B86" s="337"/>
      <c r="J86" s="297"/>
      <c r="K86" s="297"/>
      <c r="L86" s="297"/>
      <c r="O86" s="341"/>
      <c r="P86" s="297"/>
    </row>
    <row r="87" spans="2:16" ht="27" customHeight="1">
      <c r="C87" s="317"/>
    </row>
    <row r="88" spans="2:16" ht="27" customHeight="1">
      <c r="C88" s="317"/>
    </row>
    <row r="89" spans="2:16" ht="27" customHeight="1">
      <c r="C89" s="317"/>
      <c r="E89" s="704" t="s">
        <v>339</v>
      </c>
      <c r="F89" s="705"/>
    </row>
    <row r="90" spans="2:16" ht="27" customHeight="1">
      <c r="E90" s="360" t="s">
        <v>238</v>
      </c>
      <c r="F90" s="360" t="s">
        <v>239</v>
      </c>
    </row>
    <row r="91" spans="2:16" ht="27" customHeight="1">
      <c r="E91" s="361">
        <v>0.5</v>
      </c>
      <c r="F91" s="362" t="s">
        <v>240</v>
      </c>
    </row>
    <row r="92" spans="2:16" ht="27" customHeight="1">
      <c r="E92" s="361">
        <v>1</v>
      </c>
      <c r="F92" s="362" t="s">
        <v>241</v>
      </c>
    </row>
    <row r="93" spans="2:16" ht="27" customHeight="1">
      <c r="E93" s="361">
        <v>1.5</v>
      </c>
      <c r="F93" s="362" t="s">
        <v>242</v>
      </c>
    </row>
    <row r="94" spans="2:16" ht="27" customHeight="1">
      <c r="E94" s="361">
        <v>2</v>
      </c>
      <c r="F94" s="362" t="s">
        <v>243</v>
      </c>
    </row>
    <row r="95" spans="2:16" ht="27" customHeight="1">
      <c r="E95" s="361">
        <v>2.5</v>
      </c>
      <c r="F95" s="362" t="s">
        <v>244</v>
      </c>
    </row>
    <row r="96" spans="2:16" ht="27" customHeight="1">
      <c r="E96" s="361">
        <v>3</v>
      </c>
      <c r="F96" s="362" t="s">
        <v>245</v>
      </c>
    </row>
    <row r="97" spans="5:6" ht="27" customHeight="1">
      <c r="E97" s="361">
        <v>3.5</v>
      </c>
      <c r="F97" s="362" t="s">
        <v>246</v>
      </c>
    </row>
    <row r="98" spans="5:6" ht="27" customHeight="1">
      <c r="E98" s="361">
        <v>4</v>
      </c>
      <c r="F98" s="362" t="s">
        <v>247</v>
      </c>
    </row>
    <row r="99" spans="5:6" ht="27" customHeight="1">
      <c r="E99" s="361">
        <v>4.5</v>
      </c>
      <c r="F99" s="362" t="s">
        <v>248</v>
      </c>
    </row>
    <row r="100" spans="5:6" ht="27" customHeight="1">
      <c r="E100" s="361">
        <v>5</v>
      </c>
      <c r="F100" s="362" t="s">
        <v>249</v>
      </c>
    </row>
    <row r="101" spans="5:6" ht="27" customHeight="1">
      <c r="E101" s="361">
        <v>5.5</v>
      </c>
      <c r="F101" s="362" t="s">
        <v>250</v>
      </c>
    </row>
    <row r="102" spans="5:6" ht="27" customHeight="1">
      <c r="E102" s="361">
        <v>6</v>
      </c>
      <c r="F102" s="362" t="s">
        <v>251</v>
      </c>
    </row>
    <row r="103" spans="5:6" ht="27" customHeight="1">
      <c r="E103" s="361">
        <v>6.5</v>
      </c>
      <c r="F103" s="362" t="s">
        <v>252</v>
      </c>
    </row>
    <row r="104" spans="5:6" ht="27" customHeight="1">
      <c r="E104" s="361">
        <v>7</v>
      </c>
      <c r="F104" s="362" t="s">
        <v>253</v>
      </c>
    </row>
    <row r="105" spans="5:6" ht="27" customHeight="1">
      <c r="E105" s="361">
        <v>7.5</v>
      </c>
      <c r="F105" s="362" t="s">
        <v>254</v>
      </c>
    </row>
    <row r="106" spans="5:6" ht="27" customHeight="1">
      <c r="E106" s="361">
        <v>8</v>
      </c>
      <c r="F106" s="362" t="s">
        <v>255</v>
      </c>
    </row>
    <row r="107" spans="5:6" ht="27" customHeight="1">
      <c r="E107" s="361">
        <v>8.5</v>
      </c>
      <c r="F107" s="362" t="s">
        <v>256</v>
      </c>
    </row>
    <row r="108" spans="5:6" ht="27" customHeight="1">
      <c r="E108" s="361">
        <v>9</v>
      </c>
      <c r="F108" s="362" t="s">
        <v>257</v>
      </c>
    </row>
    <row r="109" spans="5:6" ht="27" customHeight="1">
      <c r="E109" s="361">
        <v>9.5</v>
      </c>
      <c r="F109" s="362" t="s">
        <v>258</v>
      </c>
    </row>
    <row r="110" spans="5:6" ht="27" customHeight="1">
      <c r="E110" s="361">
        <v>10</v>
      </c>
      <c r="F110" s="362" t="s">
        <v>259</v>
      </c>
    </row>
    <row r="111" spans="5:6" ht="27" customHeight="1">
      <c r="E111" s="361">
        <v>10.5</v>
      </c>
      <c r="F111" s="362" t="s">
        <v>260</v>
      </c>
    </row>
    <row r="112" spans="5:6" ht="27" customHeight="1">
      <c r="E112" s="361">
        <v>11</v>
      </c>
      <c r="F112" s="362" t="s">
        <v>261</v>
      </c>
    </row>
    <row r="113" spans="5:6" ht="27" customHeight="1">
      <c r="E113" s="361">
        <v>11.5</v>
      </c>
      <c r="F113" s="362" t="s">
        <v>262</v>
      </c>
    </row>
    <row r="114" spans="5:6" ht="27" customHeight="1">
      <c r="E114" s="361">
        <v>12</v>
      </c>
      <c r="F114" s="362" t="s">
        <v>263</v>
      </c>
    </row>
    <row r="115" spans="5:6" ht="27" customHeight="1">
      <c r="E115" s="361">
        <v>12.5</v>
      </c>
      <c r="F115" s="362" t="s">
        <v>264</v>
      </c>
    </row>
    <row r="116" spans="5:6" ht="27" customHeight="1">
      <c r="E116" s="361">
        <v>13</v>
      </c>
      <c r="F116" s="362" t="s">
        <v>265</v>
      </c>
    </row>
    <row r="117" spans="5:6" ht="27" customHeight="1">
      <c r="E117" s="361">
        <v>13.5</v>
      </c>
      <c r="F117" s="362" t="s">
        <v>266</v>
      </c>
    </row>
    <row r="118" spans="5:6" ht="27" customHeight="1">
      <c r="E118" s="361">
        <v>14</v>
      </c>
      <c r="F118" s="362" t="s">
        <v>267</v>
      </c>
    </row>
    <row r="119" spans="5:6" ht="27" customHeight="1">
      <c r="E119" s="361">
        <v>14.5</v>
      </c>
      <c r="F119" s="362" t="s">
        <v>268</v>
      </c>
    </row>
    <row r="120" spans="5:6" ht="27" customHeight="1">
      <c r="E120" s="361">
        <v>15</v>
      </c>
      <c r="F120" s="362" t="s">
        <v>269</v>
      </c>
    </row>
    <row r="121" spans="5:6" ht="27" customHeight="1">
      <c r="E121" s="361">
        <v>15.5</v>
      </c>
      <c r="F121" s="362" t="s">
        <v>270</v>
      </c>
    </row>
    <row r="122" spans="5:6" ht="27" customHeight="1">
      <c r="E122" s="361">
        <v>16</v>
      </c>
      <c r="F122" s="362" t="s">
        <v>271</v>
      </c>
    </row>
    <row r="123" spans="5:6" ht="27" customHeight="1">
      <c r="E123" s="361">
        <v>16.5</v>
      </c>
      <c r="F123" s="362" t="s">
        <v>272</v>
      </c>
    </row>
    <row r="124" spans="5:6" ht="27" customHeight="1">
      <c r="E124" s="361">
        <v>17</v>
      </c>
      <c r="F124" s="362" t="s">
        <v>273</v>
      </c>
    </row>
    <row r="125" spans="5:6" ht="27" customHeight="1">
      <c r="E125" s="361">
        <v>17.5</v>
      </c>
      <c r="F125" s="362" t="s">
        <v>274</v>
      </c>
    </row>
    <row r="126" spans="5:6" ht="27" customHeight="1">
      <c r="E126" s="361">
        <v>18</v>
      </c>
      <c r="F126" s="362" t="s">
        <v>275</v>
      </c>
    </row>
    <row r="127" spans="5:6" ht="27" customHeight="1">
      <c r="E127" s="361">
        <v>18.5</v>
      </c>
      <c r="F127" s="362" t="s">
        <v>276</v>
      </c>
    </row>
    <row r="128" spans="5:6" ht="27" customHeight="1">
      <c r="E128" s="361">
        <v>19</v>
      </c>
      <c r="F128" s="362" t="s">
        <v>277</v>
      </c>
    </row>
    <row r="129" spans="5:6" ht="27" customHeight="1">
      <c r="E129" s="361">
        <v>19.5</v>
      </c>
      <c r="F129" s="362" t="s">
        <v>278</v>
      </c>
    </row>
    <row r="130" spans="5:6" ht="27" customHeight="1">
      <c r="E130" s="361">
        <v>20</v>
      </c>
      <c r="F130" s="362" t="s">
        <v>279</v>
      </c>
    </row>
    <row r="131" spans="5:6" ht="27" customHeight="1">
      <c r="E131" s="361">
        <v>20.5</v>
      </c>
      <c r="F131" s="362" t="s">
        <v>280</v>
      </c>
    </row>
    <row r="132" spans="5:6" ht="27" customHeight="1">
      <c r="E132" s="361">
        <v>21</v>
      </c>
      <c r="F132" s="362" t="s">
        <v>281</v>
      </c>
    </row>
    <row r="133" spans="5:6" ht="27" customHeight="1">
      <c r="E133" s="361">
        <v>21.5</v>
      </c>
      <c r="F133" s="362" t="s">
        <v>282</v>
      </c>
    </row>
    <row r="134" spans="5:6" ht="27" customHeight="1">
      <c r="E134" s="361">
        <v>22</v>
      </c>
      <c r="F134" s="362" t="s">
        <v>283</v>
      </c>
    </row>
    <row r="135" spans="5:6" ht="27" customHeight="1">
      <c r="E135" s="361">
        <v>22.5</v>
      </c>
      <c r="F135" s="362" t="s">
        <v>284</v>
      </c>
    </row>
    <row r="136" spans="5:6" ht="27" customHeight="1">
      <c r="E136" s="361">
        <v>23</v>
      </c>
      <c r="F136" s="362" t="s">
        <v>285</v>
      </c>
    </row>
    <row r="137" spans="5:6" ht="27" customHeight="1">
      <c r="E137" s="361">
        <v>23.5</v>
      </c>
      <c r="F137" s="362" t="s">
        <v>286</v>
      </c>
    </row>
    <row r="138" spans="5:6" ht="27" customHeight="1">
      <c r="E138" s="361">
        <v>24</v>
      </c>
      <c r="F138" s="362" t="s">
        <v>287</v>
      </c>
    </row>
    <row r="139" spans="5:6" ht="27" customHeight="1">
      <c r="E139" s="361">
        <v>24.5</v>
      </c>
      <c r="F139" s="362" t="s">
        <v>288</v>
      </c>
    </row>
    <row r="140" spans="5:6" ht="27" customHeight="1">
      <c r="E140" s="361">
        <v>25</v>
      </c>
      <c r="F140" s="362" t="s">
        <v>289</v>
      </c>
    </row>
    <row r="141" spans="5:6" ht="27" customHeight="1">
      <c r="E141" s="361">
        <v>25.5</v>
      </c>
      <c r="F141" s="362" t="s">
        <v>290</v>
      </c>
    </row>
    <row r="142" spans="5:6" ht="27" customHeight="1">
      <c r="E142" s="361">
        <v>26</v>
      </c>
      <c r="F142" s="362" t="s">
        <v>291</v>
      </c>
    </row>
    <row r="143" spans="5:6" ht="27" customHeight="1">
      <c r="E143" s="361">
        <v>26.5</v>
      </c>
      <c r="F143" s="362" t="s">
        <v>292</v>
      </c>
    </row>
    <row r="144" spans="5:6" ht="27" customHeight="1">
      <c r="E144" s="361">
        <v>27</v>
      </c>
      <c r="F144" s="362" t="s">
        <v>293</v>
      </c>
    </row>
    <row r="145" spans="5:6" ht="27" customHeight="1">
      <c r="E145" s="361">
        <v>27.5</v>
      </c>
      <c r="F145" s="362" t="s">
        <v>294</v>
      </c>
    </row>
    <row r="146" spans="5:6" ht="27" customHeight="1">
      <c r="E146" s="361">
        <v>28</v>
      </c>
      <c r="F146" s="362" t="s">
        <v>295</v>
      </c>
    </row>
    <row r="147" spans="5:6" ht="27" customHeight="1">
      <c r="E147" s="361">
        <v>28.5</v>
      </c>
      <c r="F147" s="362" t="s">
        <v>296</v>
      </c>
    </row>
    <row r="148" spans="5:6" ht="27" customHeight="1">
      <c r="E148" s="361">
        <v>29</v>
      </c>
      <c r="F148" s="362" t="s">
        <v>297</v>
      </c>
    </row>
    <row r="149" spans="5:6" ht="27" customHeight="1">
      <c r="E149" s="361">
        <v>29.5</v>
      </c>
      <c r="F149" s="362" t="s">
        <v>298</v>
      </c>
    </row>
    <row r="150" spans="5:6" ht="27" customHeight="1">
      <c r="E150" s="361">
        <v>30</v>
      </c>
      <c r="F150" s="362" t="s">
        <v>299</v>
      </c>
    </row>
    <row r="151" spans="5:6" ht="27" customHeight="1">
      <c r="E151" s="361">
        <v>30.5</v>
      </c>
      <c r="F151" s="362" t="s">
        <v>300</v>
      </c>
    </row>
    <row r="152" spans="5:6" ht="27" customHeight="1">
      <c r="E152" s="361">
        <v>31</v>
      </c>
      <c r="F152" s="362" t="s">
        <v>301</v>
      </c>
    </row>
    <row r="153" spans="5:6" ht="27" customHeight="1">
      <c r="E153" s="361">
        <v>31.5</v>
      </c>
      <c r="F153" s="362" t="s">
        <v>302</v>
      </c>
    </row>
    <row r="154" spans="5:6" ht="27" customHeight="1">
      <c r="E154" s="361">
        <v>32</v>
      </c>
      <c r="F154" s="362" t="s">
        <v>303</v>
      </c>
    </row>
    <row r="155" spans="5:6" ht="27" customHeight="1">
      <c r="E155" s="361">
        <v>32.5</v>
      </c>
      <c r="F155" s="362" t="s">
        <v>304</v>
      </c>
    </row>
    <row r="156" spans="5:6" ht="27" customHeight="1">
      <c r="E156" s="361">
        <v>33</v>
      </c>
      <c r="F156" s="362" t="s">
        <v>305</v>
      </c>
    </row>
    <row r="157" spans="5:6" ht="27" customHeight="1">
      <c r="E157" s="361">
        <v>33.5</v>
      </c>
      <c r="F157" s="362" t="s">
        <v>306</v>
      </c>
    </row>
    <row r="158" spans="5:6" ht="27" customHeight="1">
      <c r="E158" s="361">
        <v>34</v>
      </c>
      <c r="F158" s="362" t="s">
        <v>307</v>
      </c>
    </row>
    <row r="159" spans="5:6" ht="27" customHeight="1">
      <c r="E159" s="361">
        <v>34.5</v>
      </c>
      <c r="F159" s="362" t="s">
        <v>308</v>
      </c>
    </row>
    <row r="160" spans="5:6" ht="27" customHeight="1">
      <c r="E160" s="361">
        <v>35</v>
      </c>
      <c r="F160" s="362" t="s">
        <v>309</v>
      </c>
    </row>
    <row r="161" spans="5:6" ht="27" customHeight="1">
      <c r="E161" s="361">
        <v>35.5</v>
      </c>
      <c r="F161" s="362" t="s">
        <v>310</v>
      </c>
    </row>
    <row r="162" spans="5:6" ht="27" customHeight="1">
      <c r="E162" s="361">
        <v>36</v>
      </c>
      <c r="F162" s="362" t="s">
        <v>311</v>
      </c>
    </row>
    <row r="163" spans="5:6" ht="27" customHeight="1">
      <c r="E163" s="361">
        <v>36.5</v>
      </c>
      <c r="F163" s="362" t="s">
        <v>312</v>
      </c>
    </row>
    <row r="164" spans="5:6" ht="27" customHeight="1">
      <c r="E164" s="361">
        <v>37</v>
      </c>
      <c r="F164" s="362" t="s">
        <v>313</v>
      </c>
    </row>
    <row r="165" spans="5:6" ht="27" customHeight="1">
      <c r="E165" s="361">
        <v>37.5</v>
      </c>
      <c r="F165" s="362" t="s">
        <v>314</v>
      </c>
    </row>
    <row r="166" spans="5:6" ht="27" customHeight="1">
      <c r="E166" s="361">
        <v>38</v>
      </c>
      <c r="F166" s="362" t="s">
        <v>315</v>
      </c>
    </row>
    <row r="167" spans="5:6" ht="27" customHeight="1">
      <c r="E167" s="361">
        <v>38.5</v>
      </c>
      <c r="F167" s="362" t="s">
        <v>316</v>
      </c>
    </row>
    <row r="168" spans="5:6" ht="27" customHeight="1">
      <c r="E168" s="361">
        <v>39</v>
      </c>
      <c r="F168" s="362" t="s">
        <v>317</v>
      </c>
    </row>
    <row r="169" spans="5:6" ht="27" customHeight="1">
      <c r="E169" s="361">
        <v>39.5</v>
      </c>
      <c r="F169" s="362" t="s">
        <v>318</v>
      </c>
    </row>
    <row r="170" spans="5:6" ht="27" customHeight="1">
      <c r="E170" s="361">
        <v>40</v>
      </c>
      <c r="F170" s="362" t="s">
        <v>319</v>
      </c>
    </row>
  </sheetData>
  <mergeCells count="5">
    <mergeCell ref="E89:F89"/>
    <mergeCell ref="E33:F33"/>
    <mergeCell ref="B34:C34"/>
    <mergeCell ref="C59:F59"/>
    <mergeCell ref="C62:D62"/>
  </mergeCells>
  <conditionalFormatting sqref="F49 F51:F54">
    <cfRule type="expression" dxfId="35" priority="1">
      <formula>$F$48=0</formula>
    </cfRule>
  </conditionalFormatting>
  <hyperlinks>
    <hyperlink ref="C14" r:id="rId1" display="Carafa Special Type 2"/>
    <hyperlink ref="C76" r:id="rId2"/>
    <hyperlink ref="C75" r:id="rId3"/>
    <hyperlink ref="C22" r:id="rId4"/>
    <hyperlink ref="C12" r:id="rId5" display="Pale Ale - Вайерман Германия"/>
    <hyperlink ref="C24" r:id="rId6" display="Капачки"/>
    <hyperlink ref="C25" r:id="rId7"/>
    <hyperlink ref="C26" r:id="rId8"/>
    <hyperlink ref="C13" r:id="rId9" display="Кара-Пилс малц"/>
    <hyperlink ref="C37" r:id="rId10" display="Протеаза на 50-55° - размесване на 75° (малц 18°)"/>
    <hyperlink ref="C18" r:id="rId11" display="Жатец       10      (ароматен; чешки; алфа 3,4%)"/>
    <hyperlink ref="C19" r:id="rId12" display="Жатец       10      (ароматен; чешки; алфа 3,4%)"/>
    <hyperlink ref="C17" r:id="rId13" display="Магнум - немски горчив хмел 80"/>
  </hyperlinks>
  <pageMargins left="0.23622047244094491" right="0.23622047244094491" top="0.23622047244094491" bottom="0.74803149606299213" header="0.31496062992125984" footer="0.31496062992125984"/>
  <pageSetup paperSize="9" orientation="portrait" r:id="rId14"/>
</worksheet>
</file>

<file path=xl/worksheets/sheet8.xml><?xml version="1.0" encoding="utf-8"?>
<worksheet xmlns="http://schemas.openxmlformats.org/spreadsheetml/2006/main" xmlns:r="http://schemas.openxmlformats.org/officeDocument/2006/relationships">
  <dimension ref="A1:Q159"/>
  <sheetViews>
    <sheetView topLeftCell="B1" zoomScale="115" zoomScaleNormal="115" workbookViewId="0">
      <selection activeCell="C6" sqref="C6"/>
    </sheetView>
  </sheetViews>
  <sheetFormatPr defaultRowHeight="27" customHeight="1"/>
  <cols>
    <col min="1" max="1" width="2.85546875" style="261" hidden="1" customWidth="1"/>
    <col min="2" max="2" width="3.7109375" style="243" customWidth="1"/>
    <col min="3" max="3" width="58.7109375" style="261" customWidth="1"/>
    <col min="4" max="9" width="11.7109375" style="261" customWidth="1"/>
    <col min="10" max="12" width="11.7109375" style="270" customWidth="1"/>
    <col min="13" max="14" width="8.7109375" style="261" customWidth="1"/>
    <col min="15" max="15" width="8.7109375" style="272" customWidth="1"/>
    <col min="16" max="16" width="8.7109375" style="270" customWidth="1"/>
    <col min="17" max="19" width="8.7109375" style="261" customWidth="1"/>
    <col min="20" max="16384" width="9.140625" style="261"/>
  </cols>
  <sheetData>
    <row r="1" spans="2:17" s="244" customFormat="1" ht="27" customHeight="1">
      <c r="B1" s="243"/>
      <c r="D1" s="245" t="s">
        <v>221</v>
      </c>
      <c r="E1" s="245" t="s">
        <v>349</v>
      </c>
      <c r="F1" s="245" t="s">
        <v>144</v>
      </c>
      <c r="J1" s="246"/>
      <c r="K1" s="246"/>
      <c r="L1" s="246"/>
      <c r="O1" s="247"/>
      <c r="P1" s="246"/>
    </row>
    <row r="2" spans="2:17" s="244" customFormat="1" ht="27" customHeight="1">
      <c r="B2" s="243"/>
      <c r="C2" s="383" t="s">
        <v>433</v>
      </c>
      <c r="D2" s="245" t="s">
        <v>353</v>
      </c>
      <c r="E2" s="248">
        <v>1</v>
      </c>
      <c r="F2" s="249">
        <v>42400</v>
      </c>
      <c r="M2" s="246"/>
    </row>
    <row r="3" spans="2:17" s="244" customFormat="1" ht="27" customHeight="1">
      <c r="B3" s="243"/>
      <c r="C3" s="250" t="s">
        <v>435</v>
      </c>
      <c r="D3" s="245"/>
      <c r="E3" s="248"/>
      <c r="F3" s="249"/>
      <c r="M3" s="246"/>
    </row>
    <row r="4" spans="2:17" s="244" customFormat="1" ht="27" customHeight="1">
      <c r="B4" s="243"/>
      <c r="C4" s="250" t="s">
        <v>466</v>
      </c>
      <c r="D4" s="251" t="s">
        <v>95</v>
      </c>
      <c r="E4" s="251" t="s">
        <v>385</v>
      </c>
      <c r="F4" s="251" t="s">
        <v>387</v>
      </c>
      <c r="G4" s="251" t="s">
        <v>39</v>
      </c>
      <c r="M4" s="246"/>
    </row>
    <row r="5" spans="2:17" s="244" customFormat="1" ht="27" customHeight="1">
      <c r="B5" s="243"/>
      <c r="C5" s="250" t="s">
        <v>462</v>
      </c>
      <c r="D5" s="384">
        <v>7</v>
      </c>
      <c r="E5" s="407">
        <f>D5*6</f>
        <v>42</v>
      </c>
      <c r="F5" s="407">
        <f>D5*4</f>
        <v>28</v>
      </c>
      <c r="G5" s="254">
        <f>F5*2</f>
        <v>56</v>
      </c>
      <c r="I5"/>
      <c r="M5" s="246"/>
    </row>
    <row r="6" spans="2:17" s="244" customFormat="1" ht="27" customHeight="1">
      <c r="B6" s="243"/>
      <c r="C6" s="250" t="s">
        <v>465</v>
      </c>
      <c r="D6" s="255"/>
      <c r="E6" s="255"/>
      <c r="F6" s="255"/>
      <c r="G6" s="255"/>
      <c r="M6" s="246"/>
    </row>
    <row r="7" spans="2:17" s="244" customFormat="1" ht="27" customHeight="1">
      <c r="B7" s="243"/>
      <c r="C7" s="250" t="s">
        <v>352</v>
      </c>
      <c r="D7" s="251" t="s">
        <v>386</v>
      </c>
      <c r="E7" s="251" t="s">
        <v>46</v>
      </c>
      <c r="F7" s="251" t="s">
        <v>47</v>
      </c>
      <c r="G7" s="251" t="s">
        <v>453</v>
      </c>
      <c r="M7" s="246"/>
    </row>
    <row r="8" spans="2:17" s="244" customFormat="1" ht="27" customHeight="1">
      <c r="B8" s="243"/>
      <c r="C8" s="250" t="s">
        <v>346</v>
      </c>
      <c r="D8" s="256">
        <f>SUM(G11:G27)</f>
        <v>30.721000000000004</v>
      </c>
      <c r="E8" s="257">
        <f>D8/G5</f>
        <v>0.54858928571428578</v>
      </c>
      <c r="F8" s="257">
        <v>1.8</v>
      </c>
      <c r="G8" s="256">
        <f>G5*(F8-E8)</f>
        <v>70.078999999999994</v>
      </c>
      <c r="M8" s="246"/>
    </row>
    <row r="9" spans="2:17" s="244" customFormat="1" ht="27" customHeight="1">
      <c r="B9" s="243"/>
      <c r="C9" s="250" t="s">
        <v>350</v>
      </c>
      <c r="D9" s="245"/>
      <c r="E9" s="248"/>
      <c r="F9" s="249"/>
      <c r="M9" s="246"/>
    </row>
    <row r="10" spans="2:17" s="244" customFormat="1" ht="27" customHeight="1">
      <c r="B10" s="243"/>
      <c r="C10" s="258"/>
      <c r="D10" s="245"/>
      <c r="E10" s="248"/>
      <c r="F10" s="249"/>
      <c r="M10" s="246"/>
    </row>
    <row r="11" spans="2:17" s="244" customFormat="1" ht="27" customHeight="1">
      <c r="B11" s="243"/>
      <c r="C11" s="259" t="s">
        <v>95</v>
      </c>
      <c r="D11" s="260" t="s">
        <v>42</v>
      </c>
      <c r="E11" s="260" t="s">
        <v>354</v>
      </c>
      <c r="F11" s="260" t="s">
        <v>41</v>
      </c>
      <c r="G11" s="245" t="s">
        <v>41</v>
      </c>
      <c r="H11" s="261"/>
      <c r="K11" s="262"/>
      <c r="L11" s="263"/>
      <c r="N11" s="264"/>
      <c r="P11" s="247"/>
      <c r="Q11" s="264"/>
    </row>
    <row r="12" spans="2:17" ht="27" customHeight="1">
      <c r="B12" s="243">
        <v>1</v>
      </c>
      <c r="C12" s="265" t="s">
        <v>409</v>
      </c>
      <c r="D12" s="402">
        <f>D5*E12</f>
        <v>0.42</v>
      </c>
      <c r="E12" s="411">
        <v>0.06</v>
      </c>
      <c r="F12" s="363">
        <v>2.1</v>
      </c>
      <c r="G12" s="269">
        <f>D12*F12</f>
        <v>0.88200000000000001</v>
      </c>
      <c r="J12" s="261"/>
      <c r="K12" s="261"/>
      <c r="N12" s="271"/>
      <c r="O12" s="261"/>
      <c r="P12" s="272"/>
      <c r="Q12" s="271"/>
    </row>
    <row r="13" spans="2:17" ht="27" customHeight="1">
      <c r="B13" s="243">
        <v>2</v>
      </c>
      <c r="C13" s="265" t="s">
        <v>436</v>
      </c>
      <c r="D13" s="403">
        <f>D5*E13</f>
        <v>4.7600000000000007</v>
      </c>
      <c r="E13" s="412">
        <v>0.68</v>
      </c>
      <c r="F13" s="363">
        <v>2.1</v>
      </c>
      <c r="G13" s="284">
        <f>D13*F13</f>
        <v>9.9960000000000022</v>
      </c>
      <c r="J13" s="261"/>
      <c r="K13" s="261"/>
      <c r="N13" s="264"/>
      <c r="O13" s="261"/>
      <c r="P13" s="264"/>
      <c r="Q13" s="270"/>
    </row>
    <row r="14" spans="2:17" ht="27" customHeight="1">
      <c r="B14" s="243">
        <v>3</v>
      </c>
      <c r="C14" s="265" t="s">
        <v>467</v>
      </c>
      <c r="D14" s="404">
        <f>D5*E14</f>
        <v>1.82</v>
      </c>
      <c r="E14" s="413">
        <v>0.26</v>
      </c>
      <c r="F14" s="363">
        <v>2.5499999999999998</v>
      </c>
      <c r="G14" s="274">
        <f>D14*F14</f>
        <v>4.641</v>
      </c>
      <c r="J14" s="261"/>
      <c r="K14" s="261"/>
      <c r="N14" s="264"/>
      <c r="O14" s="261"/>
      <c r="P14" s="264"/>
      <c r="Q14" s="270"/>
    </row>
    <row r="15" spans="2:17" s="255" customFormat="1" ht="27" customHeight="1">
      <c r="B15" s="275"/>
      <c r="C15" s="261"/>
      <c r="D15" s="276"/>
      <c r="E15" s="277"/>
      <c r="F15" s="278"/>
      <c r="G15" s="279"/>
      <c r="N15" s="264"/>
      <c r="Q15" s="264"/>
    </row>
    <row r="16" spans="2:17" s="255" customFormat="1" ht="27" customHeight="1">
      <c r="B16" s="275"/>
      <c r="C16" s="259" t="s">
        <v>337</v>
      </c>
      <c r="D16" s="260" t="s">
        <v>216</v>
      </c>
      <c r="E16" s="280" t="s">
        <v>335</v>
      </c>
      <c r="F16" s="281" t="s">
        <v>336</v>
      </c>
      <c r="G16" s="279"/>
      <c r="N16" s="264"/>
      <c r="Q16" s="264"/>
    </row>
    <row r="17" spans="2:17" ht="27" customHeight="1">
      <c r="B17" s="243">
        <v>4</v>
      </c>
      <c r="C17" s="265" t="s">
        <v>469</v>
      </c>
      <c r="D17" s="405">
        <f>E17*E5</f>
        <v>42</v>
      </c>
      <c r="E17" s="410">
        <v>1</v>
      </c>
      <c r="F17" s="363">
        <v>56</v>
      </c>
      <c r="G17" s="401">
        <f>(D17/1000)*F17</f>
        <v>2.3520000000000003</v>
      </c>
      <c r="J17" s="261"/>
      <c r="K17" s="261"/>
      <c r="N17" s="264"/>
      <c r="O17" s="261"/>
      <c r="P17" s="272"/>
      <c r="Q17" s="264"/>
    </row>
    <row r="18" spans="2:17" s="255" customFormat="1" ht="27" customHeight="1">
      <c r="B18" s="275"/>
      <c r="C18" s="261"/>
      <c r="D18" s="277"/>
      <c r="E18" s="276"/>
      <c r="F18" s="278"/>
      <c r="G18" s="279"/>
      <c r="N18" s="264"/>
      <c r="Q18" s="264"/>
    </row>
    <row r="19" spans="2:17" s="255" customFormat="1" ht="27" customHeight="1">
      <c r="B19" s="275"/>
      <c r="C19" s="259" t="s">
        <v>355</v>
      </c>
      <c r="D19" s="280"/>
      <c r="E19" s="260"/>
      <c r="F19" s="281" t="s">
        <v>448</v>
      </c>
      <c r="G19" s="279"/>
      <c r="N19" s="264"/>
      <c r="Q19" s="264"/>
    </row>
    <row r="20" spans="2:17" ht="27" customHeight="1">
      <c r="B20" s="243">
        <v>5</v>
      </c>
      <c r="C20" s="265" t="s">
        <v>451</v>
      </c>
      <c r="D20" s="406" t="s">
        <v>452</v>
      </c>
      <c r="E20" s="387">
        <v>1</v>
      </c>
      <c r="F20" s="363">
        <v>4.0999999999999996</v>
      </c>
      <c r="G20" s="269">
        <f>E20*F20</f>
        <v>4.0999999999999996</v>
      </c>
      <c r="I20" s="289"/>
      <c r="K20" s="261"/>
      <c r="L20" s="261"/>
      <c r="N20" s="290"/>
      <c r="O20" s="261"/>
      <c r="P20" s="290"/>
      <c r="Q20" s="290"/>
    </row>
    <row r="21" spans="2:17" ht="27" customHeight="1">
      <c r="B21" s="243">
        <v>6</v>
      </c>
      <c r="C21" s="265" t="s">
        <v>25</v>
      </c>
      <c r="D21" s="267"/>
      <c r="E21" s="387">
        <f>G5+2</f>
        <v>58</v>
      </c>
      <c r="F21" s="363">
        <v>2.8000000000000001E-2</v>
      </c>
      <c r="G21" s="284"/>
      <c r="I21" s="231" t="s">
        <v>447</v>
      </c>
      <c r="J21" s="261"/>
      <c r="K21" s="261"/>
      <c r="N21" s="264"/>
      <c r="O21" s="261"/>
      <c r="P21" s="264"/>
      <c r="Q21" s="270"/>
    </row>
    <row r="22" spans="2:17" ht="27" customHeight="1">
      <c r="B22" s="243">
        <v>7</v>
      </c>
      <c r="C22" s="265" t="s">
        <v>356</v>
      </c>
      <c r="E22" s="414">
        <f>D5</f>
        <v>7</v>
      </c>
      <c r="F22" s="363">
        <v>0.25</v>
      </c>
      <c r="G22" s="284">
        <f>E22*F22</f>
        <v>1.75</v>
      </c>
      <c r="J22" s="386" t="s">
        <v>446</v>
      </c>
      <c r="K22" s="244"/>
      <c r="L22" s="244"/>
      <c r="M22" s="292"/>
      <c r="O22" s="261"/>
      <c r="P22" s="261"/>
    </row>
    <row r="23" spans="2:17" ht="27" customHeight="1">
      <c r="B23" s="243">
        <v>8</v>
      </c>
      <c r="C23" s="265" t="s">
        <v>401</v>
      </c>
      <c r="E23" s="387">
        <v>1</v>
      </c>
      <c r="F23" s="363">
        <v>2</v>
      </c>
      <c r="G23" s="274">
        <f>E23*F23</f>
        <v>2</v>
      </c>
      <c r="I23" s="324" t="s">
        <v>443</v>
      </c>
      <c r="J23" s="270">
        <v>0.52834410527459186</v>
      </c>
      <c r="K23" s="385"/>
      <c r="O23" s="261"/>
      <c r="P23" s="261"/>
    </row>
    <row r="24" spans="2:17" ht="27" customHeight="1">
      <c r="F24" s="268"/>
      <c r="I24" s="324" t="s">
        <v>444</v>
      </c>
      <c r="J24" s="270">
        <v>0.79251615791188768</v>
      </c>
      <c r="K24" s="385"/>
      <c r="O24" s="261"/>
      <c r="P24" s="261"/>
    </row>
    <row r="25" spans="2:17" ht="27" customHeight="1">
      <c r="C25" s="380" t="s">
        <v>43</v>
      </c>
      <c r="F25" s="268"/>
      <c r="G25" s="294">
        <v>5</v>
      </c>
      <c r="I25" s="324" t="s">
        <v>445</v>
      </c>
      <c r="J25" s="270">
        <v>1.0566882105491837</v>
      </c>
      <c r="K25" s="385"/>
      <c r="O25" s="261"/>
      <c r="P25" s="261"/>
    </row>
    <row r="26" spans="2:17" ht="27" customHeight="1">
      <c r="C26" s="261" t="s">
        <v>52</v>
      </c>
      <c r="F26" s="268"/>
      <c r="G26" s="295"/>
      <c r="I26" s="270"/>
      <c r="K26" s="261"/>
      <c r="L26" s="261"/>
      <c r="O26" s="261"/>
      <c r="P26" s="261"/>
    </row>
    <row r="27" spans="2:17" ht="27" customHeight="1">
      <c r="C27" s="261" t="s">
        <v>172</v>
      </c>
      <c r="F27" s="268"/>
      <c r="G27" s="296"/>
      <c r="I27" s="270"/>
      <c r="K27" s="261"/>
      <c r="L27" s="261"/>
      <c r="M27" s="292"/>
      <c r="O27" s="261"/>
      <c r="P27" s="261"/>
    </row>
    <row r="28" spans="2:17" ht="27" customHeight="1">
      <c r="E28" s="297"/>
      <c r="G28" s="297"/>
      <c r="I28" s="390" t="s">
        <v>455</v>
      </c>
      <c r="J28" s="261"/>
      <c r="K28" s="261"/>
      <c r="L28" s="298"/>
      <c r="M28" s="292"/>
      <c r="O28" s="261"/>
      <c r="P28" s="261"/>
    </row>
    <row r="29" spans="2:17" ht="27" customHeight="1">
      <c r="C29" s="299"/>
      <c r="D29" s="373"/>
      <c r="E29" s="297"/>
      <c r="I29" s="317"/>
      <c r="J29" s="261"/>
      <c r="K29" s="261"/>
      <c r="L29" s="261"/>
      <c r="O29" s="261"/>
      <c r="P29" s="261"/>
    </row>
    <row r="30" spans="2:17" ht="27" customHeight="1">
      <c r="B30" s="261"/>
      <c r="C30" s="299" t="s">
        <v>473</v>
      </c>
      <c r="D30" s="299" t="s">
        <v>99</v>
      </c>
      <c r="E30" s="299" t="s">
        <v>100</v>
      </c>
      <c r="F30" s="299" t="s">
        <v>101</v>
      </c>
      <c r="I30" s="317"/>
      <c r="J30" s="261"/>
      <c r="K30" s="261"/>
      <c r="L30" s="261"/>
      <c r="O30" s="261"/>
      <c r="P30" s="261"/>
    </row>
    <row r="31" spans="2:17" ht="27" customHeight="1">
      <c r="B31" s="243">
        <v>1</v>
      </c>
      <c r="C31" s="261" t="s">
        <v>424</v>
      </c>
      <c r="D31" s="407">
        <f>D5*3</f>
        <v>21</v>
      </c>
      <c r="E31" s="407">
        <f>D5*4</f>
        <v>28</v>
      </c>
      <c r="F31" s="253">
        <f>SUM(D31:E31)</f>
        <v>49</v>
      </c>
      <c r="G31" s="270"/>
      <c r="J31" s="261"/>
      <c r="K31" s="261"/>
      <c r="L31" s="261"/>
      <c r="O31" s="261"/>
      <c r="P31" s="261"/>
    </row>
    <row r="32" spans="2:17" ht="27" customHeight="1">
      <c r="B32" s="243">
        <v>2</v>
      </c>
      <c r="C32" s="301" t="s">
        <v>431</v>
      </c>
      <c r="D32" s="302"/>
      <c r="E32" s="303"/>
      <c r="F32" s="304"/>
      <c r="J32" s="292"/>
      <c r="K32" s="305"/>
      <c r="L32" s="261"/>
      <c r="O32" s="261"/>
      <c r="P32" s="261"/>
    </row>
    <row r="33" spans="2:13" ht="27" customHeight="1">
      <c r="B33" s="243">
        <v>3</v>
      </c>
      <c r="C33" s="265" t="s">
        <v>437</v>
      </c>
      <c r="D33" s="419">
        <v>6.9444444444444441E-3</v>
      </c>
      <c r="E33" s="420">
        <v>0.40277777777777773</v>
      </c>
      <c r="F33" s="421">
        <f>E33+D33</f>
        <v>0.40972222222222215</v>
      </c>
      <c r="J33" s="292"/>
      <c r="K33" s="305"/>
      <c r="L33" s="261"/>
      <c r="M33" s="305"/>
    </row>
    <row r="34" spans="2:13" ht="27" customHeight="1">
      <c r="B34" s="243">
        <v>4</v>
      </c>
      <c r="C34" s="261" t="s">
        <v>438</v>
      </c>
      <c r="D34" s="419">
        <v>2.0833333333333332E-2</v>
      </c>
      <c r="E34" s="420">
        <v>0.41666666666666669</v>
      </c>
      <c r="F34" s="421">
        <f>E34+D34</f>
        <v>0.4375</v>
      </c>
      <c r="J34" s="292"/>
      <c r="K34" s="305"/>
      <c r="L34" s="261"/>
      <c r="M34" s="305"/>
    </row>
    <row r="35" spans="2:13" ht="27" customHeight="1">
      <c r="B35" s="243">
        <v>5</v>
      </c>
      <c r="C35" s="261" t="s">
        <v>439</v>
      </c>
      <c r="D35" s="419">
        <v>1.3888888888888888E-2</v>
      </c>
      <c r="E35" s="420">
        <v>0.44097222222222227</v>
      </c>
      <c r="F35" s="421">
        <f>E35+D35</f>
        <v>0.45486111111111116</v>
      </c>
      <c r="J35" s="292"/>
      <c r="K35" s="305"/>
      <c r="L35" s="261"/>
    </row>
    <row r="36" spans="2:13" ht="27" customHeight="1">
      <c r="B36" s="243">
        <v>6</v>
      </c>
      <c r="C36" s="261" t="s">
        <v>440</v>
      </c>
      <c r="F36" s="380"/>
      <c r="J36" s="272"/>
      <c r="K36" s="261"/>
    </row>
    <row r="37" spans="2:13" ht="27" customHeight="1">
      <c r="B37" s="243">
        <v>7</v>
      </c>
      <c r="C37" s="301" t="s">
        <v>485</v>
      </c>
    </row>
    <row r="38" spans="2:13" ht="27" customHeight="1">
      <c r="B38" s="243">
        <v>8</v>
      </c>
      <c r="C38" s="400" t="s">
        <v>463</v>
      </c>
      <c r="D38" s="408" t="s">
        <v>458</v>
      </c>
      <c r="E38" s="409" t="s">
        <v>459</v>
      </c>
      <c r="F38" s="409" t="s">
        <v>460</v>
      </c>
    </row>
    <row r="39" spans="2:13" ht="27" customHeight="1">
      <c r="B39" s="243">
        <v>9</v>
      </c>
      <c r="C39" s="244" t="s">
        <v>457</v>
      </c>
      <c r="D39" s="417">
        <v>12.5</v>
      </c>
      <c r="E39" s="417">
        <v>8</v>
      </c>
      <c r="F39" s="417">
        <v>10.5</v>
      </c>
    </row>
    <row r="40" spans="2:13" ht="27" customHeight="1">
      <c r="B40" s="243">
        <v>10</v>
      </c>
      <c r="C40" s="381" t="s">
        <v>382</v>
      </c>
      <c r="D40" s="314"/>
      <c r="E40" s="314"/>
      <c r="F40" s="312"/>
    </row>
    <row r="41" spans="2:13" ht="27" customHeight="1">
      <c r="B41" s="243">
        <v>11</v>
      </c>
      <c r="C41" s="400" t="s">
        <v>422</v>
      </c>
      <c r="D41" s="310"/>
      <c r="E41" s="399"/>
      <c r="F41" s="399"/>
    </row>
    <row r="42" spans="2:13" ht="27" customHeight="1">
      <c r="B42" s="243">
        <v>12</v>
      </c>
      <c r="C42" s="301" t="s">
        <v>380</v>
      </c>
      <c r="D42" s="395" t="s">
        <v>461</v>
      </c>
      <c r="E42" s="422">
        <v>0.49652777777777773</v>
      </c>
      <c r="F42" s="423">
        <v>6.25E-2</v>
      </c>
    </row>
    <row r="43" spans="2:13" ht="27" customHeight="1">
      <c r="B43" s="243">
        <v>13</v>
      </c>
      <c r="C43" s="317" t="str">
        <f>C17</f>
        <v>Халертау  (ароматен;  6,3%)</v>
      </c>
      <c r="D43" s="405">
        <f>D17</f>
        <v>42</v>
      </c>
      <c r="E43" s="419">
        <v>4.8611111111111112E-2</v>
      </c>
      <c r="F43" s="419">
        <f>F44-E43</f>
        <v>0.51041666666666652</v>
      </c>
    </row>
    <row r="44" spans="2:13" ht="27" customHeight="1">
      <c r="B44" s="243">
        <v>14</v>
      </c>
      <c r="C44" s="319" t="s">
        <v>340</v>
      </c>
      <c r="E44" s="320"/>
      <c r="F44" s="419">
        <f>E42+F42</f>
        <v>0.55902777777777768</v>
      </c>
      <c r="G44" s="322"/>
    </row>
    <row r="45" spans="2:13" ht="27" customHeight="1">
      <c r="B45" s="243">
        <v>15</v>
      </c>
      <c r="C45" s="380" t="s">
        <v>470</v>
      </c>
      <c r="D45" s="381"/>
      <c r="E45" s="381"/>
      <c r="F45" s="417">
        <v>15</v>
      </c>
      <c r="G45" s="305"/>
    </row>
    <row r="46" spans="2:13" ht="27" customHeight="1">
      <c r="B46" s="243">
        <v>16</v>
      </c>
      <c r="C46" s="388" t="s">
        <v>454</v>
      </c>
      <c r="D46" s="389"/>
      <c r="E46" s="389"/>
      <c r="F46" s="305"/>
      <c r="G46" s="305"/>
    </row>
    <row r="47" spans="2:13" ht="27" customHeight="1">
      <c r="B47" s="243">
        <v>17</v>
      </c>
      <c r="C47" s="381" t="s">
        <v>471</v>
      </c>
      <c r="D47" s="314"/>
      <c r="E47" s="314"/>
      <c r="F47" s="416">
        <v>12</v>
      </c>
    </row>
    <row r="48" spans="2:13" ht="27" customHeight="1">
      <c r="B48" s="243">
        <v>18</v>
      </c>
      <c r="C48" s="261" t="s">
        <v>464</v>
      </c>
      <c r="D48" s="394" t="s">
        <v>441</v>
      </c>
      <c r="E48" s="418" t="s">
        <v>472</v>
      </c>
      <c r="F48" s="424">
        <v>0.70833333333333337</v>
      </c>
    </row>
    <row r="49" spans="2:16" ht="27" customHeight="1">
      <c r="B49" s="243">
        <v>19</v>
      </c>
      <c r="C49" s="708" t="s">
        <v>442</v>
      </c>
      <c r="D49" s="708"/>
      <c r="E49" s="708"/>
      <c r="F49" s="708"/>
      <c r="G49" s="305"/>
    </row>
    <row r="50" spans="2:16" s="317" customFormat="1" ht="27" customHeight="1">
      <c r="B50" s="243">
        <v>20</v>
      </c>
      <c r="C50" s="365" t="s">
        <v>390</v>
      </c>
      <c r="D50" s="381"/>
      <c r="E50" s="381"/>
      <c r="G50" s="324"/>
    </row>
    <row r="51" spans="2:16" s="317" customFormat="1" ht="27" customHeight="1">
      <c r="B51" s="243">
        <v>21</v>
      </c>
      <c r="C51" s="709" t="s">
        <v>425</v>
      </c>
      <c r="D51" s="709"/>
      <c r="E51" s="710"/>
      <c r="F51" s="313">
        <v>5</v>
      </c>
      <c r="G51" s="324"/>
    </row>
    <row r="52" spans="2:16" ht="27" customHeight="1">
      <c r="B52" s="243">
        <v>22</v>
      </c>
      <c r="C52" s="399" t="s">
        <v>468</v>
      </c>
      <c r="D52" s="381"/>
      <c r="E52" s="381"/>
      <c r="F52" s="381"/>
    </row>
    <row r="54" spans="2:16" s="325" customFormat="1" ht="27" customHeight="1">
      <c r="C54" s="326" t="s">
        <v>71</v>
      </c>
    </row>
    <row r="55" spans="2:16" s="325" customFormat="1" ht="27" customHeight="1">
      <c r="C55" s="327" t="s">
        <v>416</v>
      </c>
      <c r="F55" s="425">
        <v>7</v>
      </c>
    </row>
    <row r="56" spans="2:16" s="325" customFormat="1" ht="27" customHeight="1">
      <c r="C56" s="328" t="s">
        <v>366</v>
      </c>
      <c r="F56" s="378">
        <v>11</v>
      </c>
    </row>
    <row r="57" spans="2:16" s="325" customFormat="1" ht="27" customHeight="1">
      <c r="C57" s="328" t="s">
        <v>75</v>
      </c>
      <c r="F57" s="331">
        <v>5</v>
      </c>
    </row>
    <row r="58" spans="2:16" s="325" customFormat="1" ht="27" customHeight="1">
      <c r="C58" s="328" t="s">
        <v>414</v>
      </c>
      <c r="F58" s="331">
        <f>1*F55*10*80%</f>
        <v>56</v>
      </c>
    </row>
    <row r="59" spans="2:16" s="325" customFormat="1" ht="27" customHeight="1">
      <c r="C59" s="332" t="s">
        <v>415</v>
      </c>
      <c r="F59" s="333">
        <f>F56*F57/F58</f>
        <v>0.9821428571428571</v>
      </c>
    </row>
    <row r="60" spans="2:16" s="325" customFormat="1" ht="27" customHeight="1">
      <c r="C60" s="334"/>
      <c r="E60" s="335"/>
    </row>
    <row r="61" spans="2:16" ht="27" customHeight="1">
      <c r="C61" s="336" t="s">
        <v>202</v>
      </c>
      <c r="D61" s="305"/>
      <c r="E61" s="305"/>
      <c r="F61" s="305"/>
      <c r="J61" s="261"/>
      <c r="K61" s="261"/>
      <c r="L61" s="261"/>
      <c r="O61" s="261"/>
      <c r="P61" s="261"/>
    </row>
    <row r="62" spans="2:16" s="298" customFormat="1" ht="27" customHeight="1">
      <c r="B62" s="337"/>
      <c r="C62" s="338" t="s">
        <v>413</v>
      </c>
      <c r="D62" s="339"/>
      <c r="E62" s="339"/>
      <c r="F62" s="340">
        <f>(F45-F51)*0.52</f>
        <v>5.2</v>
      </c>
      <c r="J62" s="297"/>
      <c r="K62" s="297"/>
      <c r="L62" s="297"/>
      <c r="O62" s="341"/>
      <c r="P62" s="297"/>
    </row>
    <row r="63" spans="2:16" s="298" customFormat="1" ht="27" customHeight="1">
      <c r="B63" s="337"/>
      <c r="C63" s="342" t="s">
        <v>223</v>
      </c>
      <c r="D63" s="339"/>
      <c r="E63" s="339"/>
      <c r="F63" s="343">
        <f>F45</f>
        <v>15</v>
      </c>
      <c r="J63" s="297"/>
      <c r="K63" s="297"/>
      <c r="L63" s="297"/>
      <c r="O63" s="341"/>
      <c r="P63" s="297"/>
    </row>
    <row r="64" spans="2:16" s="298" customFormat="1" ht="27" customHeight="1">
      <c r="B64" s="337"/>
      <c r="C64" s="344" t="s">
        <v>219</v>
      </c>
      <c r="D64" s="345"/>
      <c r="E64" s="345"/>
      <c r="F64" s="392"/>
    </row>
    <row r="65" spans="2:16" s="298" customFormat="1" ht="27" customHeight="1">
      <c r="B65" s="337"/>
      <c r="C65" s="344" t="s">
        <v>218</v>
      </c>
      <c r="D65" s="347"/>
      <c r="F65" s="393"/>
    </row>
    <row r="66" spans="2:16" s="298" customFormat="1" ht="27" customHeight="1">
      <c r="B66" s="337"/>
      <c r="C66" s="349" t="s">
        <v>224</v>
      </c>
      <c r="D66" s="345"/>
      <c r="E66" s="345"/>
      <c r="F66" s="350">
        <f>F45</f>
        <v>15</v>
      </c>
    </row>
    <row r="67" spans="2:16" s="298" customFormat="1" ht="27" customHeight="1">
      <c r="B67" s="337"/>
      <c r="C67" s="351" t="s">
        <v>225</v>
      </c>
      <c r="D67" s="345"/>
      <c r="E67" s="345"/>
      <c r="F67" s="352">
        <f>F51</f>
        <v>5</v>
      </c>
    </row>
    <row r="68" spans="2:16" s="298" customFormat="1" ht="27" customHeight="1">
      <c r="B68" s="337"/>
    </row>
    <row r="69" spans="2:16" s="298" customFormat="1" ht="27" customHeight="1">
      <c r="B69" s="337"/>
      <c r="C69" s="374" t="s">
        <v>154</v>
      </c>
      <c r="F69" s="353">
        <f>((F70*F71)/F72)/100</f>
        <v>0.25714285714285717</v>
      </c>
      <c r="J69" s="297"/>
      <c r="K69" s="297"/>
      <c r="L69" s="297"/>
      <c r="O69" s="341"/>
      <c r="P69" s="297"/>
    </row>
    <row r="70" spans="2:16" s="298" customFormat="1" ht="27" customHeight="1">
      <c r="B70" s="337"/>
      <c r="C70" s="354" t="s">
        <v>408</v>
      </c>
      <c r="F70" s="355">
        <f>F47</f>
        <v>12</v>
      </c>
      <c r="J70" s="297"/>
      <c r="K70" s="297"/>
      <c r="L70" s="297"/>
      <c r="O70" s="341"/>
      <c r="P70" s="297"/>
    </row>
    <row r="71" spans="2:16" s="298" customFormat="1" ht="27" customHeight="1">
      <c r="B71" s="337"/>
      <c r="C71" s="354" t="s">
        <v>361</v>
      </c>
      <c r="F71" s="356">
        <f>F45</f>
        <v>15</v>
      </c>
      <c r="J71" s="297"/>
      <c r="K71" s="297"/>
      <c r="L71" s="297"/>
      <c r="O71" s="341"/>
      <c r="P71" s="297"/>
    </row>
    <row r="72" spans="2:16" s="298" customFormat="1" ht="27" customHeight="1">
      <c r="B72" s="337"/>
      <c r="C72" s="357" t="s">
        <v>153</v>
      </c>
      <c r="F72" s="358">
        <f>D5</f>
        <v>7</v>
      </c>
      <c r="J72" s="297"/>
      <c r="K72" s="297"/>
      <c r="L72" s="297"/>
      <c r="O72" s="341"/>
      <c r="P72" s="297"/>
    </row>
    <row r="73" spans="2:16" s="298" customFormat="1" ht="27" customHeight="1">
      <c r="B73" s="337"/>
      <c r="J73" s="297"/>
      <c r="K73" s="297"/>
      <c r="L73" s="297"/>
      <c r="O73" s="341"/>
      <c r="P73" s="297"/>
    </row>
    <row r="74" spans="2:16" s="298" customFormat="1" ht="27" customHeight="1">
      <c r="B74" s="337"/>
      <c r="C74" s="359" t="s">
        <v>220</v>
      </c>
      <c r="J74" s="297"/>
      <c r="K74" s="297"/>
      <c r="L74" s="297"/>
      <c r="O74" s="341"/>
      <c r="P74" s="297"/>
    </row>
    <row r="75" spans="2:16" s="298" customFormat="1" ht="27" customHeight="1">
      <c r="B75" s="337"/>
      <c r="J75" s="297"/>
      <c r="K75" s="297"/>
      <c r="L75" s="297"/>
      <c r="O75" s="341"/>
      <c r="P75" s="297"/>
    </row>
    <row r="76" spans="2:16" ht="27" customHeight="1">
      <c r="C76" s="317"/>
    </row>
    <row r="77" spans="2:16" ht="27" customHeight="1">
      <c r="C77" s="317"/>
    </row>
    <row r="78" spans="2:16" ht="27" customHeight="1">
      <c r="C78" s="317"/>
      <c r="E78" s="704" t="s">
        <v>339</v>
      </c>
      <c r="F78" s="705"/>
    </row>
    <row r="79" spans="2:16" ht="27" customHeight="1">
      <c r="E79" s="360" t="s">
        <v>238</v>
      </c>
      <c r="F79" s="360" t="s">
        <v>239</v>
      </c>
    </row>
    <row r="80" spans="2:16" ht="27" customHeight="1">
      <c r="E80" s="361">
        <v>0.5</v>
      </c>
      <c r="F80" s="362" t="s">
        <v>240</v>
      </c>
    </row>
    <row r="81" spans="5:6" ht="27" customHeight="1">
      <c r="E81" s="361">
        <v>1</v>
      </c>
      <c r="F81" s="362" t="s">
        <v>241</v>
      </c>
    </row>
    <row r="82" spans="5:6" ht="27" customHeight="1">
      <c r="E82" s="361">
        <v>1.5</v>
      </c>
      <c r="F82" s="362" t="s">
        <v>242</v>
      </c>
    </row>
    <row r="83" spans="5:6" ht="27" customHeight="1">
      <c r="E83" s="361">
        <v>2</v>
      </c>
      <c r="F83" s="362" t="s">
        <v>243</v>
      </c>
    </row>
    <row r="84" spans="5:6" ht="27" customHeight="1">
      <c r="E84" s="361">
        <v>2.5</v>
      </c>
      <c r="F84" s="362" t="s">
        <v>244</v>
      </c>
    </row>
    <row r="85" spans="5:6" ht="27" customHeight="1">
      <c r="E85" s="361">
        <v>3</v>
      </c>
      <c r="F85" s="362" t="s">
        <v>245</v>
      </c>
    </row>
    <row r="86" spans="5:6" ht="27" customHeight="1">
      <c r="E86" s="361">
        <v>3.5</v>
      </c>
      <c r="F86" s="362" t="s">
        <v>246</v>
      </c>
    </row>
    <row r="87" spans="5:6" ht="27" customHeight="1">
      <c r="E87" s="361">
        <v>4</v>
      </c>
      <c r="F87" s="362" t="s">
        <v>247</v>
      </c>
    </row>
    <row r="88" spans="5:6" ht="27" customHeight="1">
      <c r="E88" s="361">
        <v>4.5</v>
      </c>
      <c r="F88" s="362" t="s">
        <v>248</v>
      </c>
    </row>
    <row r="89" spans="5:6" ht="27" customHeight="1">
      <c r="E89" s="361">
        <v>5</v>
      </c>
      <c r="F89" s="362" t="s">
        <v>249</v>
      </c>
    </row>
    <row r="90" spans="5:6" ht="27" customHeight="1">
      <c r="E90" s="361">
        <v>5.5</v>
      </c>
      <c r="F90" s="362" t="s">
        <v>250</v>
      </c>
    </row>
    <row r="91" spans="5:6" ht="27" customHeight="1">
      <c r="E91" s="361">
        <v>6</v>
      </c>
      <c r="F91" s="362" t="s">
        <v>251</v>
      </c>
    </row>
    <row r="92" spans="5:6" ht="27" customHeight="1">
      <c r="E92" s="361">
        <v>6.5</v>
      </c>
      <c r="F92" s="362" t="s">
        <v>252</v>
      </c>
    </row>
    <row r="93" spans="5:6" ht="27" customHeight="1">
      <c r="E93" s="361">
        <v>7</v>
      </c>
      <c r="F93" s="362" t="s">
        <v>253</v>
      </c>
    </row>
    <row r="94" spans="5:6" ht="27" customHeight="1">
      <c r="E94" s="361">
        <v>7.5</v>
      </c>
      <c r="F94" s="362" t="s">
        <v>254</v>
      </c>
    </row>
    <row r="95" spans="5:6" ht="27" customHeight="1">
      <c r="E95" s="361">
        <v>8</v>
      </c>
      <c r="F95" s="362" t="s">
        <v>255</v>
      </c>
    </row>
    <row r="96" spans="5:6" ht="27" customHeight="1">
      <c r="E96" s="361">
        <v>8.5</v>
      </c>
      <c r="F96" s="362" t="s">
        <v>256</v>
      </c>
    </row>
    <row r="97" spans="5:6" ht="27" customHeight="1">
      <c r="E97" s="361">
        <v>9</v>
      </c>
      <c r="F97" s="362" t="s">
        <v>257</v>
      </c>
    </row>
    <row r="98" spans="5:6" ht="27" customHeight="1">
      <c r="E98" s="361">
        <v>9.5</v>
      </c>
      <c r="F98" s="362" t="s">
        <v>258</v>
      </c>
    </row>
    <row r="99" spans="5:6" ht="27" customHeight="1">
      <c r="E99" s="361">
        <v>10</v>
      </c>
      <c r="F99" s="362" t="s">
        <v>259</v>
      </c>
    </row>
    <row r="100" spans="5:6" ht="27" customHeight="1">
      <c r="E100" s="361">
        <v>10.5</v>
      </c>
      <c r="F100" s="362" t="s">
        <v>260</v>
      </c>
    </row>
    <row r="101" spans="5:6" ht="27" customHeight="1">
      <c r="E101" s="361">
        <v>11</v>
      </c>
      <c r="F101" s="362" t="s">
        <v>261</v>
      </c>
    </row>
    <row r="102" spans="5:6" ht="27" customHeight="1">
      <c r="E102" s="361">
        <v>11.5</v>
      </c>
      <c r="F102" s="362" t="s">
        <v>262</v>
      </c>
    </row>
    <row r="103" spans="5:6" ht="27" customHeight="1">
      <c r="E103" s="361">
        <v>12</v>
      </c>
      <c r="F103" s="362" t="s">
        <v>263</v>
      </c>
    </row>
    <row r="104" spans="5:6" ht="27" customHeight="1">
      <c r="E104" s="361">
        <v>12.5</v>
      </c>
      <c r="F104" s="362" t="s">
        <v>264</v>
      </c>
    </row>
    <row r="105" spans="5:6" ht="27" customHeight="1">
      <c r="E105" s="361">
        <v>13</v>
      </c>
      <c r="F105" s="362" t="s">
        <v>265</v>
      </c>
    </row>
    <row r="106" spans="5:6" ht="27" customHeight="1">
      <c r="E106" s="361">
        <v>13.5</v>
      </c>
      <c r="F106" s="362" t="s">
        <v>266</v>
      </c>
    </row>
    <row r="107" spans="5:6" ht="27" customHeight="1">
      <c r="E107" s="361">
        <v>14</v>
      </c>
      <c r="F107" s="362" t="s">
        <v>267</v>
      </c>
    </row>
    <row r="108" spans="5:6" ht="27" customHeight="1">
      <c r="E108" s="361">
        <v>14.5</v>
      </c>
      <c r="F108" s="362" t="s">
        <v>268</v>
      </c>
    </row>
    <row r="109" spans="5:6" ht="27" customHeight="1">
      <c r="E109" s="361">
        <v>15</v>
      </c>
      <c r="F109" s="362" t="s">
        <v>269</v>
      </c>
    </row>
    <row r="110" spans="5:6" ht="27" customHeight="1">
      <c r="E110" s="361">
        <v>15.5</v>
      </c>
      <c r="F110" s="362" t="s">
        <v>270</v>
      </c>
    </row>
    <row r="111" spans="5:6" ht="27" customHeight="1">
      <c r="E111" s="361">
        <v>16</v>
      </c>
      <c r="F111" s="362" t="s">
        <v>271</v>
      </c>
    </row>
    <row r="112" spans="5:6" ht="27" customHeight="1">
      <c r="E112" s="361">
        <v>16.5</v>
      </c>
      <c r="F112" s="362" t="s">
        <v>272</v>
      </c>
    </row>
    <row r="113" spans="5:6" ht="27" customHeight="1">
      <c r="E113" s="361">
        <v>17</v>
      </c>
      <c r="F113" s="362" t="s">
        <v>273</v>
      </c>
    </row>
    <row r="114" spans="5:6" ht="27" customHeight="1">
      <c r="E114" s="361">
        <v>17.5</v>
      </c>
      <c r="F114" s="362" t="s">
        <v>274</v>
      </c>
    </row>
    <row r="115" spans="5:6" ht="27" customHeight="1">
      <c r="E115" s="361">
        <v>18</v>
      </c>
      <c r="F115" s="362" t="s">
        <v>275</v>
      </c>
    </row>
    <row r="116" spans="5:6" ht="27" customHeight="1">
      <c r="E116" s="361">
        <v>18.5</v>
      </c>
      <c r="F116" s="362" t="s">
        <v>276</v>
      </c>
    </row>
    <row r="117" spans="5:6" ht="27" customHeight="1">
      <c r="E117" s="361">
        <v>19</v>
      </c>
      <c r="F117" s="362" t="s">
        <v>277</v>
      </c>
    </row>
    <row r="118" spans="5:6" ht="27" customHeight="1">
      <c r="E118" s="361">
        <v>19.5</v>
      </c>
      <c r="F118" s="362" t="s">
        <v>278</v>
      </c>
    </row>
    <row r="119" spans="5:6" ht="27" customHeight="1">
      <c r="E119" s="361">
        <v>20</v>
      </c>
      <c r="F119" s="362" t="s">
        <v>279</v>
      </c>
    </row>
    <row r="120" spans="5:6" ht="27" customHeight="1">
      <c r="E120" s="361">
        <v>20.5</v>
      </c>
      <c r="F120" s="362" t="s">
        <v>280</v>
      </c>
    </row>
    <row r="121" spans="5:6" ht="27" customHeight="1">
      <c r="E121" s="361">
        <v>21</v>
      </c>
      <c r="F121" s="362" t="s">
        <v>281</v>
      </c>
    </row>
    <row r="122" spans="5:6" ht="27" customHeight="1">
      <c r="E122" s="361">
        <v>21.5</v>
      </c>
      <c r="F122" s="362" t="s">
        <v>282</v>
      </c>
    </row>
    <row r="123" spans="5:6" ht="27" customHeight="1">
      <c r="E123" s="361">
        <v>22</v>
      </c>
      <c r="F123" s="362" t="s">
        <v>283</v>
      </c>
    </row>
    <row r="124" spans="5:6" ht="27" customHeight="1">
      <c r="E124" s="361">
        <v>22.5</v>
      </c>
      <c r="F124" s="362" t="s">
        <v>284</v>
      </c>
    </row>
    <row r="125" spans="5:6" ht="27" customHeight="1">
      <c r="E125" s="361">
        <v>23</v>
      </c>
      <c r="F125" s="362" t="s">
        <v>285</v>
      </c>
    </row>
    <row r="126" spans="5:6" ht="27" customHeight="1">
      <c r="E126" s="361">
        <v>23.5</v>
      </c>
      <c r="F126" s="362" t="s">
        <v>286</v>
      </c>
    </row>
    <row r="127" spans="5:6" ht="27" customHeight="1">
      <c r="E127" s="361">
        <v>24</v>
      </c>
      <c r="F127" s="362" t="s">
        <v>287</v>
      </c>
    </row>
    <row r="128" spans="5:6" ht="27" customHeight="1">
      <c r="E128" s="361">
        <v>24.5</v>
      </c>
      <c r="F128" s="362" t="s">
        <v>288</v>
      </c>
    </row>
    <row r="129" spans="5:6" ht="27" customHeight="1">
      <c r="E129" s="361">
        <v>25</v>
      </c>
      <c r="F129" s="362" t="s">
        <v>289</v>
      </c>
    </row>
    <row r="130" spans="5:6" ht="27" customHeight="1">
      <c r="E130" s="361">
        <v>25.5</v>
      </c>
      <c r="F130" s="362" t="s">
        <v>290</v>
      </c>
    </row>
    <row r="131" spans="5:6" ht="27" customHeight="1">
      <c r="E131" s="361">
        <v>26</v>
      </c>
      <c r="F131" s="362" t="s">
        <v>291</v>
      </c>
    </row>
    <row r="132" spans="5:6" ht="27" customHeight="1">
      <c r="E132" s="361">
        <v>26.5</v>
      </c>
      <c r="F132" s="362" t="s">
        <v>292</v>
      </c>
    </row>
    <row r="133" spans="5:6" ht="27" customHeight="1">
      <c r="E133" s="361">
        <v>27</v>
      </c>
      <c r="F133" s="362" t="s">
        <v>293</v>
      </c>
    </row>
    <row r="134" spans="5:6" ht="27" customHeight="1">
      <c r="E134" s="361">
        <v>27.5</v>
      </c>
      <c r="F134" s="362" t="s">
        <v>294</v>
      </c>
    </row>
    <row r="135" spans="5:6" ht="27" customHeight="1">
      <c r="E135" s="361">
        <v>28</v>
      </c>
      <c r="F135" s="362" t="s">
        <v>295</v>
      </c>
    </row>
    <row r="136" spans="5:6" ht="27" customHeight="1">
      <c r="E136" s="361">
        <v>28.5</v>
      </c>
      <c r="F136" s="362" t="s">
        <v>296</v>
      </c>
    </row>
    <row r="137" spans="5:6" ht="27" customHeight="1">
      <c r="E137" s="361">
        <v>29</v>
      </c>
      <c r="F137" s="362" t="s">
        <v>297</v>
      </c>
    </row>
    <row r="138" spans="5:6" ht="27" customHeight="1">
      <c r="E138" s="361">
        <v>29.5</v>
      </c>
      <c r="F138" s="362" t="s">
        <v>298</v>
      </c>
    </row>
    <row r="139" spans="5:6" ht="27" customHeight="1">
      <c r="E139" s="361">
        <v>30</v>
      </c>
      <c r="F139" s="362" t="s">
        <v>299</v>
      </c>
    </row>
    <row r="140" spans="5:6" ht="27" customHeight="1">
      <c r="E140" s="361">
        <v>30.5</v>
      </c>
      <c r="F140" s="362" t="s">
        <v>300</v>
      </c>
    </row>
    <row r="141" spans="5:6" ht="27" customHeight="1">
      <c r="E141" s="361">
        <v>31</v>
      </c>
      <c r="F141" s="362" t="s">
        <v>301</v>
      </c>
    </row>
    <row r="142" spans="5:6" ht="27" customHeight="1">
      <c r="E142" s="361">
        <v>31.5</v>
      </c>
      <c r="F142" s="362" t="s">
        <v>302</v>
      </c>
    </row>
    <row r="143" spans="5:6" ht="27" customHeight="1">
      <c r="E143" s="361">
        <v>32</v>
      </c>
      <c r="F143" s="362" t="s">
        <v>303</v>
      </c>
    </row>
    <row r="144" spans="5:6" ht="27" customHeight="1">
      <c r="E144" s="361">
        <v>32.5</v>
      </c>
      <c r="F144" s="362" t="s">
        <v>304</v>
      </c>
    </row>
    <row r="145" spans="5:6" ht="27" customHeight="1">
      <c r="E145" s="361">
        <v>33</v>
      </c>
      <c r="F145" s="362" t="s">
        <v>305</v>
      </c>
    </row>
    <row r="146" spans="5:6" ht="27" customHeight="1">
      <c r="E146" s="361">
        <v>33.5</v>
      </c>
      <c r="F146" s="362" t="s">
        <v>306</v>
      </c>
    </row>
    <row r="147" spans="5:6" ht="27" customHeight="1">
      <c r="E147" s="361">
        <v>34</v>
      </c>
      <c r="F147" s="362" t="s">
        <v>307</v>
      </c>
    </row>
    <row r="148" spans="5:6" ht="27" customHeight="1">
      <c r="E148" s="361">
        <v>34.5</v>
      </c>
      <c r="F148" s="362" t="s">
        <v>308</v>
      </c>
    </row>
    <row r="149" spans="5:6" ht="27" customHeight="1">
      <c r="E149" s="361">
        <v>35</v>
      </c>
      <c r="F149" s="362" t="s">
        <v>309</v>
      </c>
    </row>
    <row r="150" spans="5:6" ht="27" customHeight="1">
      <c r="E150" s="361">
        <v>35.5</v>
      </c>
      <c r="F150" s="362" t="s">
        <v>310</v>
      </c>
    </row>
    <row r="151" spans="5:6" ht="27" customHeight="1">
      <c r="E151" s="361">
        <v>36</v>
      </c>
      <c r="F151" s="362" t="s">
        <v>311</v>
      </c>
    </row>
    <row r="152" spans="5:6" ht="27" customHeight="1">
      <c r="E152" s="361">
        <v>36.5</v>
      </c>
      <c r="F152" s="362" t="s">
        <v>312</v>
      </c>
    </row>
    <row r="153" spans="5:6" ht="27" customHeight="1">
      <c r="E153" s="361">
        <v>37</v>
      </c>
      <c r="F153" s="362" t="s">
        <v>313</v>
      </c>
    </row>
    <row r="154" spans="5:6" ht="27" customHeight="1">
      <c r="E154" s="361">
        <v>37.5</v>
      </c>
      <c r="F154" s="362" t="s">
        <v>314</v>
      </c>
    </row>
    <row r="155" spans="5:6" ht="27" customHeight="1">
      <c r="E155" s="361">
        <v>38</v>
      </c>
      <c r="F155" s="362" t="s">
        <v>315</v>
      </c>
    </row>
    <row r="156" spans="5:6" ht="27" customHeight="1">
      <c r="E156" s="361">
        <v>38.5</v>
      </c>
      <c r="F156" s="362" t="s">
        <v>316</v>
      </c>
    </row>
    <row r="157" spans="5:6" ht="27" customHeight="1">
      <c r="E157" s="361">
        <v>39</v>
      </c>
      <c r="F157" s="362" t="s">
        <v>317</v>
      </c>
    </row>
    <row r="158" spans="5:6" ht="27" customHeight="1">
      <c r="E158" s="361">
        <v>39.5</v>
      </c>
      <c r="F158" s="362" t="s">
        <v>318</v>
      </c>
    </row>
    <row r="159" spans="5:6" ht="27" customHeight="1">
      <c r="E159" s="361">
        <v>40</v>
      </c>
      <c r="F159" s="362" t="s">
        <v>319</v>
      </c>
    </row>
  </sheetData>
  <mergeCells count="3">
    <mergeCell ref="C49:F49"/>
    <mergeCell ref="E78:F78"/>
    <mergeCell ref="C51:E51"/>
  </mergeCells>
  <conditionalFormatting sqref="F43:F44">
    <cfRule type="expression" dxfId="34" priority="8">
      <formula>$E$42=0</formula>
    </cfRule>
  </conditionalFormatting>
  <conditionalFormatting sqref="F51">
    <cfRule type="expression" dxfId="33" priority="7">
      <formula>$F$51=0</formula>
    </cfRule>
  </conditionalFormatting>
  <conditionalFormatting sqref="F56">
    <cfRule type="expression" dxfId="32" priority="6">
      <formula>$F$51=0</formula>
    </cfRule>
  </conditionalFormatting>
  <conditionalFormatting sqref="F33">
    <cfRule type="expression" dxfId="31" priority="5">
      <formula>$E$33=0</formula>
    </cfRule>
  </conditionalFormatting>
  <conditionalFormatting sqref="F34">
    <cfRule type="expression" dxfId="30" priority="2">
      <formula>$E$34=0</formula>
    </cfRule>
  </conditionalFormatting>
  <conditionalFormatting sqref="F35">
    <cfRule type="expression" dxfId="29" priority="1">
      <formula>$E$35=0</formula>
    </cfRule>
  </conditionalFormatting>
  <hyperlinks>
    <hyperlink ref="C65" r:id="rId1"/>
    <hyperlink ref="C64" r:id="rId2"/>
    <hyperlink ref="C17" r:id="rId3" display="Магнум - 65м (горчив;  12,7%)"/>
    <hyperlink ref="C21" r:id="rId4" display="Капачки"/>
    <hyperlink ref="C22" r:id="rId5"/>
    <hyperlink ref="C23" r:id="rId6"/>
    <hyperlink ref="C33" r:id="rId7" display="Протеаза на 50-55° - размесване на 75° (малц 18°)"/>
    <hyperlink ref="C2" r:id="rId8"/>
    <hyperlink ref="I21" r:id="rId9"/>
    <hyperlink ref="C20" r:id="rId10"/>
    <hyperlink ref="C12" r:id="rId11"/>
    <hyperlink ref="C13" r:id="rId12"/>
    <hyperlink ref="C14" r:id="rId13"/>
  </hyperlinks>
  <pageMargins left="0.23622047244094491" right="0.23622047244094491" top="0.23622047244094491" bottom="0.74803149606299213" header="0.31496062992125984" footer="0.31496062992125984"/>
  <pageSetup paperSize="9" orientation="portrait" r:id="rId14"/>
</worksheet>
</file>

<file path=xl/worksheets/sheet9.xml><?xml version="1.0" encoding="utf-8"?>
<worksheet xmlns="http://schemas.openxmlformats.org/spreadsheetml/2006/main" xmlns:r="http://schemas.openxmlformats.org/officeDocument/2006/relationships">
  <dimension ref="A1:P167"/>
  <sheetViews>
    <sheetView workbookViewId="0">
      <selection activeCell="B2" sqref="B2"/>
    </sheetView>
  </sheetViews>
  <sheetFormatPr defaultRowHeight="27" customHeight="1"/>
  <cols>
    <col min="1" max="1" width="3.7109375" style="243" customWidth="1"/>
    <col min="2" max="2" width="58.7109375" style="261" customWidth="1"/>
    <col min="3" max="4" width="11.7109375" style="261" customWidth="1"/>
    <col min="5" max="5" width="11.7109375" style="305" customWidth="1"/>
    <col min="6" max="8" width="11.7109375" style="261" customWidth="1"/>
    <col min="9" max="11" width="11.7109375" style="270" customWidth="1"/>
    <col min="12" max="13" width="8.7109375" style="261" customWidth="1"/>
    <col min="14" max="14" width="8.7109375" style="272" customWidth="1"/>
    <col min="15" max="15" width="8.7109375" style="270" customWidth="1"/>
    <col min="16" max="18" width="8.7109375" style="261" customWidth="1"/>
    <col min="19" max="16384" width="9.140625" style="261"/>
  </cols>
  <sheetData>
    <row r="1" spans="1:16" s="244" customFormat="1" ht="27" customHeight="1">
      <c r="A1" s="243"/>
      <c r="C1" s="245" t="s">
        <v>221</v>
      </c>
      <c r="D1" s="245" t="s">
        <v>349</v>
      </c>
      <c r="E1" s="245" t="s">
        <v>144</v>
      </c>
      <c r="I1" s="246"/>
      <c r="J1" s="246"/>
      <c r="K1" s="246"/>
      <c r="N1" s="247"/>
      <c r="O1" s="246"/>
    </row>
    <row r="2" spans="1:16" s="244" customFormat="1" ht="27" customHeight="1">
      <c r="A2" s="243"/>
      <c r="B2" s="430" t="s">
        <v>523</v>
      </c>
      <c r="C2" s="245" t="s">
        <v>501</v>
      </c>
      <c r="D2" s="248">
        <v>1</v>
      </c>
      <c r="E2" s="249">
        <v>42425</v>
      </c>
      <c r="L2" s="246"/>
    </row>
    <row r="3" spans="1:16" s="244" customFormat="1" ht="27" customHeight="1">
      <c r="A3" s="243"/>
      <c r="B3" s="250"/>
      <c r="C3" s="245"/>
      <c r="D3" s="248"/>
      <c r="E3" s="249"/>
      <c r="L3" s="246"/>
    </row>
    <row r="4" spans="1:16" s="244" customFormat="1" ht="27" customHeight="1">
      <c r="A4" s="243"/>
      <c r="B4" s="250" t="s">
        <v>521</v>
      </c>
      <c r="C4" s="251" t="s">
        <v>95</v>
      </c>
      <c r="D4" s="251" t="s">
        <v>385</v>
      </c>
      <c r="E4" s="251" t="s">
        <v>387</v>
      </c>
      <c r="F4" s="251" t="s">
        <v>39</v>
      </c>
      <c r="L4" s="246"/>
    </row>
    <row r="5" spans="1:16" s="244" customFormat="1" ht="27" customHeight="1">
      <c r="A5" s="243"/>
      <c r="B5" s="250" t="s">
        <v>483</v>
      </c>
      <c r="C5" s="384">
        <v>7</v>
      </c>
      <c r="D5" s="407">
        <f>C5*6</f>
        <v>42</v>
      </c>
      <c r="E5" s="407">
        <f>C5*4</f>
        <v>28</v>
      </c>
      <c r="F5" s="254">
        <f>E5*2</f>
        <v>56</v>
      </c>
      <c r="H5"/>
      <c r="L5" s="246"/>
    </row>
    <row r="6" spans="1:16" s="244" customFormat="1" ht="27" customHeight="1">
      <c r="A6" s="243"/>
      <c r="B6" s="250" t="s">
        <v>518</v>
      </c>
      <c r="C6" s="255"/>
      <c r="D6" s="255"/>
      <c r="E6" s="290"/>
      <c r="F6" s="255"/>
      <c r="L6" s="246"/>
    </row>
    <row r="7" spans="1:16" s="244" customFormat="1" ht="27" customHeight="1">
      <c r="A7" s="243"/>
      <c r="B7" s="250" t="s">
        <v>520</v>
      </c>
      <c r="C7" s="251" t="s">
        <v>386</v>
      </c>
      <c r="D7" s="251" t="s">
        <v>46</v>
      </c>
      <c r="E7" s="251" t="s">
        <v>47</v>
      </c>
      <c r="F7" s="251" t="s">
        <v>453</v>
      </c>
      <c r="L7" s="246"/>
    </row>
    <row r="8" spans="1:16" s="244" customFormat="1" ht="27" customHeight="1">
      <c r="A8" s="243"/>
      <c r="B8" s="250" t="s">
        <v>519</v>
      </c>
      <c r="C8" s="256">
        <f>SUM(F11:F27)</f>
        <v>46.656599999999997</v>
      </c>
      <c r="D8" s="257">
        <f>C8/F5</f>
        <v>0.83315357142857138</v>
      </c>
      <c r="E8" s="257">
        <v>1.8</v>
      </c>
      <c r="F8" s="256">
        <f>F5*(E8-D8)</f>
        <v>54.143400000000007</v>
      </c>
      <c r="L8" s="246"/>
    </row>
    <row r="9" spans="1:16" s="244" customFormat="1" ht="27" customHeight="1">
      <c r="A9" s="243"/>
      <c r="B9" s="250" t="s">
        <v>517</v>
      </c>
      <c r="C9" s="245"/>
      <c r="D9" s="248"/>
      <c r="E9" s="249"/>
      <c r="L9" s="246"/>
    </row>
    <row r="10" spans="1:16" s="244" customFormat="1" ht="27" customHeight="1">
      <c r="A10" s="243"/>
      <c r="B10" s="258"/>
      <c r="C10" s="245"/>
      <c r="D10" s="248"/>
      <c r="E10" s="249"/>
      <c r="L10" s="246"/>
    </row>
    <row r="11" spans="1:16" s="244" customFormat="1" ht="27" customHeight="1">
      <c r="A11" s="243"/>
      <c r="B11" s="259" t="s">
        <v>95</v>
      </c>
      <c r="C11" s="260" t="s">
        <v>42</v>
      </c>
      <c r="D11" s="260" t="s">
        <v>354</v>
      </c>
      <c r="E11" s="260" t="s">
        <v>41</v>
      </c>
      <c r="F11" s="245" t="s">
        <v>41</v>
      </c>
      <c r="G11" s="261"/>
      <c r="J11" s="262"/>
      <c r="K11" s="263"/>
      <c r="M11" s="264"/>
      <c r="O11" s="247"/>
      <c r="P11" s="264"/>
    </row>
    <row r="12" spans="1:16" ht="27" customHeight="1">
      <c r="A12" s="243">
        <v>1</v>
      </c>
      <c r="B12" s="265" t="s">
        <v>481</v>
      </c>
      <c r="C12" s="402">
        <f>C5*D12</f>
        <v>3.5</v>
      </c>
      <c r="D12" s="411">
        <v>0.5</v>
      </c>
      <c r="E12" s="363">
        <v>2</v>
      </c>
      <c r="F12" s="269">
        <f>C12*E12</f>
        <v>7</v>
      </c>
      <c r="I12" s="261"/>
      <c r="J12" s="261"/>
      <c r="M12" s="271"/>
      <c r="N12" s="261"/>
      <c r="O12" s="272"/>
      <c r="P12" s="271"/>
    </row>
    <row r="13" spans="1:16" ht="27" customHeight="1">
      <c r="A13" s="243">
        <v>3</v>
      </c>
      <c r="B13" s="265" t="s">
        <v>484</v>
      </c>
      <c r="C13" s="404">
        <f>C5*D13</f>
        <v>3.5</v>
      </c>
      <c r="D13" s="413">
        <v>0.5</v>
      </c>
      <c r="E13" s="363">
        <v>2.0499999999999998</v>
      </c>
      <c r="F13" s="274">
        <f>C13*E13</f>
        <v>7.1749999999999989</v>
      </c>
      <c r="I13" s="261"/>
      <c r="J13" s="261"/>
      <c r="M13" s="264"/>
      <c r="N13" s="261"/>
      <c r="O13" s="264"/>
      <c r="P13" s="270"/>
    </row>
    <row r="14" spans="1:16" s="255" customFormat="1" ht="27" customHeight="1">
      <c r="A14" s="275"/>
      <c r="B14" s="261"/>
      <c r="C14" s="276"/>
      <c r="D14" s="277"/>
      <c r="E14" s="278"/>
      <c r="F14" s="279"/>
      <c r="M14" s="264"/>
      <c r="P14" s="264"/>
    </row>
    <row r="15" spans="1:16" s="255" customFormat="1" ht="27" customHeight="1">
      <c r="A15" s="275"/>
      <c r="B15" s="259" t="s">
        <v>337</v>
      </c>
      <c r="C15" s="260" t="s">
        <v>216</v>
      </c>
      <c r="D15" s="280" t="s">
        <v>335</v>
      </c>
      <c r="E15" s="281" t="s">
        <v>336</v>
      </c>
      <c r="F15" s="279"/>
      <c r="M15" s="264"/>
      <c r="P15" s="264"/>
    </row>
    <row r="16" spans="1:16" ht="27" customHeight="1">
      <c r="A16" s="243">
        <v>4</v>
      </c>
      <c r="B16" s="265" t="s">
        <v>482</v>
      </c>
      <c r="C16" s="405">
        <f>D16*D5</f>
        <v>16.8</v>
      </c>
      <c r="D16" s="410">
        <v>0.4</v>
      </c>
      <c r="E16" s="363">
        <v>49.5</v>
      </c>
      <c r="F16" s="401">
        <f>(C16/1000)*E16</f>
        <v>0.83160000000000012</v>
      </c>
      <c r="I16" s="261"/>
      <c r="J16" s="261"/>
      <c r="M16" s="264"/>
      <c r="N16" s="261"/>
      <c r="O16" s="272"/>
      <c r="P16" s="264"/>
    </row>
    <row r="17" spans="1:16" s="255" customFormat="1" ht="27" customHeight="1">
      <c r="A17" s="275"/>
      <c r="B17" s="261"/>
      <c r="C17" s="277"/>
      <c r="D17" s="276"/>
      <c r="E17" s="278"/>
      <c r="F17" s="279"/>
      <c r="M17" s="264"/>
      <c r="P17" s="264"/>
    </row>
    <row r="18" spans="1:16" s="255" customFormat="1" ht="27" customHeight="1">
      <c r="A18" s="275"/>
      <c r="B18" s="259" t="s">
        <v>355</v>
      </c>
      <c r="C18" s="280"/>
      <c r="D18" s="260"/>
      <c r="E18" s="281" t="s">
        <v>448</v>
      </c>
      <c r="F18" s="279"/>
      <c r="M18" s="264"/>
      <c r="P18" s="264"/>
    </row>
    <row r="19" spans="1:16" ht="27" customHeight="1">
      <c r="A19" s="243">
        <v>5</v>
      </c>
      <c r="B19" s="265" t="s">
        <v>486</v>
      </c>
      <c r="C19" s="406" t="s">
        <v>452</v>
      </c>
      <c r="D19" s="387">
        <v>1</v>
      </c>
      <c r="E19" s="363">
        <v>3.9</v>
      </c>
      <c r="F19" s="269">
        <f>D19*E19</f>
        <v>3.9</v>
      </c>
      <c r="H19" s="289"/>
      <c r="J19" s="261"/>
      <c r="K19" s="261"/>
      <c r="M19" s="290"/>
      <c r="N19" s="261"/>
      <c r="O19" s="290"/>
      <c r="P19" s="290"/>
    </row>
    <row r="20" spans="1:16" ht="27" customHeight="1">
      <c r="B20" s="428" t="s">
        <v>492</v>
      </c>
      <c r="D20" s="431">
        <f>D5*0.3</f>
        <v>12.6</v>
      </c>
      <c r="E20" s="363"/>
      <c r="F20" s="284">
        <v>13</v>
      </c>
      <c r="H20" s="289"/>
      <c r="J20" s="261"/>
      <c r="K20" s="261"/>
      <c r="M20" s="290"/>
      <c r="N20" s="261"/>
      <c r="O20" s="290"/>
      <c r="P20" s="290"/>
    </row>
    <row r="21" spans="1:16" ht="27" customHeight="1">
      <c r="B21" s="428" t="s">
        <v>493</v>
      </c>
      <c r="D21" s="397">
        <f>D5*0.4</f>
        <v>16.8</v>
      </c>
      <c r="E21" s="363"/>
      <c r="F21" s="284"/>
      <c r="H21" s="289"/>
      <c r="J21" s="261"/>
      <c r="K21" s="261"/>
      <c r="M21" s="290"/>
      <c r="N21" s="261"/>
      <c r="O21" s="290"/>
      <c r="P21" s="290"/>
    </row>
    <row r="22" spans="1:16" ht="27" customHeight="1">
      <c r="A22" s="243">
        <v>6</v>
      </c>
      <c r="B22" s="265" t="s">
        <v>25</v>
      </c>
      <c r="C22" s="267"/>
      <c r="D22" s="433">
        <f>F5+2</f>
        <v>58</v>
      </c>
      <c r="E22" s="363">
        <v>2.8000000000000001E-2</v>
      </c>
      <c r="F22" s="284"/>
      <c r="H22" s="231" t="s">
        <v>447</v>
      </c>
      <c r="I22" s="261"/>
      <c r="J22" s="261"/>
      <c r="M22" s="264"/>
      <c r="N22" s="261"/>
      <c r="O22" s="264"/>
      <c r="P22" s="270"/>
    </row>
    <row r="23" spans="1:16" ht="27" customHeight="1">
      <c r="A23" s="243">
        <v>7</v>
      </c>
      <c r="B23" s="265" t="s">
        <v>356</v>
      </c>
      <c r="D23" s="432">
        <f>C5</f>
        <v>7</v>
      </c>
      <c r="E23" s="363">
        <v>0.25</v>
      </c>
      <c r="F23" s="274">
        <f>D23*E23</f>
        <v>1.75</v>
      </c>
      <c r="I23" s="386" t="s">
        <v>446</v>
      </c>
      <c r="J23" s="244"/>
      <c r="K23" s="244"/>
      <c r="L23" s="292"/>
      <c r="N23" s="261"/>
      <c r="O23" s="261"/>
    </row>
    <row r="24" spans="1:16" ht="27" customHeight="1">
      <c r="E24" s="268"/>
      <c r="H24" s="324" t="s">
        <v>444</v>
      </c>
      <c r="I24" s="270">
        <v>0.79251615791188768</v>
      </c>
      <c r="J24" s="385"/>
      <c r="N24" s="261"/>
      <c r="O24" s="261"/>
    </row>
    <row r="25" spans="1:16" ht="27" customHeight="1">
      <c r="B25" s="426" t="s">
        <v>43</v>
      </c>
      <c r="E25" s="268"/>
      <c r="F25" s="294">
        <v>5</v>
      </c>
      <c r="H25" s="324" t="s">
        <v>445</v>
      </c>
      <c r="I25" s="270">
        <v>1.0566882105491837</v>
      </c>
      <c r="J25" s="385"/>
      <c r="N25" s="261"/>
      <c r="O25" s="261"/>
    </row>
    <row r="26" spans="1:16" ht="27" customHeight="1">
      <c r="B26" s="261" t="s">
        <v>52</v>
      </c>
      <c r="E26" s="268"/>
      <c r="F26" s="295">
        <v>8</v>
      </c>
      <c r="H26" s="270"/>
      <c r="J26" s="261"/>
      <c r="K26" s="261"/>
      <c r="N26" s="261"/>
      <c r="O26" s="261"/>
    </row>
    <row r="27" spans="1:16" ht="27" customHeight="1">
      <c r="B27" s="261" t="s">
        <v>172</v>
      </c>
      <c r="E27" s="268"/>
      <c r="F27" s="296"/>
      <c r="H27" s="270"/>
      <c r="J27" s="261"/>
      <c r="K27" s="261"/>
      <c r="L27" s="292"/>
      <c r="N27" s="261"/>
      <c r="O27" s="261"/>
    </row>
    <row r="28" spans="1:16" ht="27" customHeight="1">
      <c r="D28" s="297"/>
      <c r="F28" s="297"/>
      <c r="H28" s="390" t="s">
        <v>455</v>
      </c>
      <c r="I28" s="261"/>
      <c r="J28" s="261"/>
      <c r="K28" s="298"/>
      <c r="L28" s="292"/>
      <c r="N28" s="261"/>
      <c r="O28" s="261"/>
    </row>
    <row r="29" spans="1:16" ht="27" customHeight="1">
      <c r="B29" s="299"/>
      <c r="C29" s="373"/>
      <c r="D29" s="297"/>
      <c r="H29" s="317"/>
      <c r="I29" s="261"/>
      <c r="J29" s="261"/>
      <c r="K29" s="261"/>
      <c r="N29" s="261"/>
      <c r="O29" s="261"/>
    </row>
    <row r="30" spans="1:16" ht="27" customHeight="1">
      <c r="A30" s="261"/>
      <c r="B30" s="299" t="s">
        <v>491</v>
      </c>
      <c r="C30" s="394" t="s">
        <v>441</v>
      </c>
      <c r="D30" s="448">
        <v>42425</v>
      </c>
      <c r="E30" s="449">
        <v>0.67361111111111116</v>
      </c>
      <c r="H30" s="438" t="s">
        <v>494</v>
      </c>
      <c r="I30" s="261"/>
      <c r="J30" s="261"/>
      <c r="K30" s="261"/>
      <c r="N30" s="261"/>
      <c r="O30" s="261"/>
    </row>
    <row r="31" spans="1:16" ht="27" customHeight="1">
      <c r="A31" s="261"/>
      <c r="B31" s="261" t="s">
        <v>503</v>
      </c>
      <c r="H31" s="438"/>
      <c r="I31" s="261"/>
      <c r="J31" s="261"/>
      <c r="K31" s="261"/>
      <c r="N31" s="261"/>
      <c r="O31" s="261"/>
    </row>
    <row r="32" spans="1:16" ht="27" customHeight="1">
      <c r="A32" s="261"/>
      <c r="B32" s="261" t="s">
        <v>504</v>
      </c>
      <c r="H32" s="438"/>
      <c r="I32" s="261"/>
      <c r="J32" s="261"/>
      <c r="K32" s="261"/>
      <c r="N32" s="261"/>
      <c r="O32" s="261"/>
    </row>
    <row r="33" spans="1:15" ht="27" customHeight="1">
      <c r="A33" s="261"/>
      <c r="B33" s="261" t="s">
        <v>505</v>
      </c>
      <c r="C33" s="299" t="s">
        <v>99</v>
      </c>
      <c r="D33" s="299" t="s">
        <v>100</v>
      </c>
      <c r="E33" s="299" t="s">
        <v>101</v>
      </c>
      <c r="H33" s="438"/>
      <c r="I33" s="261"/>
      <c r="J33" s="261"/>
      <c r="K33" s="261"/>
      <c r="N33" s="261"/>
      <c r="O33" s="261"/>
    </row>
    <row r="34" spans="1:15" ht="27" customHeight="1">
      <c r="B34" s="447" t="s">
        <v>524</v>
      </c>
      <c r="C34" s="407">
        <f>C5*3</f>
        <v>21</v>
      </c>
      <c r="D34" s="407">
        <f>C5*5</f>
        <v>35</v>
      </c>
      <c r="E34" s="253">
        <f>SUM(C34:D34)</f>
        <v>56</v>
      </c>
      <c r="F34" s="270"/>
      <c r="H34" s="438" t="s">
        <v>495</v>
      </c>
      <c r="I34" s="261"/>
      <c r="J34" s="261"/>
      <c r="K34" s="261"/>
      <c r="N34" s="261"/>
      <c r="O34" s="261"/>
    </row>
    <row r="35" spans="1:15" s="255" customFormat="1" ht="11.1" customHeight="1">
      <c r="A35" s="275"/>
      <c r="C35" s="444"/>
      <c r="D35" s="444"/>
      <c r="E35" s="445"/>
      <c r="F35" s="276"/>
      <c r="H35" s="446"/>
    </row>
    <row r="36" spans="1:15" s="255" customFormat="1" ht="27" customHeight="1">
      <c r="A36" s="434">
        <v>1</v>
      </c>
      <c r="B36" s="443" t="s">
        <v>508</v>
      </c>
      <c r="C36" s="444"/>
      <c r="D36" s="435"/>
      <c r="E36" s="445"/>
      <c r="F36" s="276"/>
      <c r="H36" s="438" t="s">
        <v>496</v>
      </c>
    </row>
    <row r="37" spans="1:15" s="325" customFormat="1" ht="27" customHeight="1">
      <c r="A37" s="434">
        <v>2</v>
      </c>
      <c r="B37" s="325" t="s">
        <v>487</v>
      </c>
      <c r="C37" s="435"/>
      <c r="E37" s="436"/>
      <c r="F37" s="437"/>
    </row>
    <row r="38" spans="1:15" ht="27" customHeight="1">
      <c r="A38" s="243">
        <v>3</v>
      </c>
      <c r="B38" s="301" t="s">
        <v>525</v>
      </c>
      <c r="C38" s="302"/>
      <c r="D38" s="303"/>
      <c r="E38" s="302"/>
      <c r="I38" s="292"/>
      <c r="J38" s="305"/>
      <c r="K38" s="261"/>
      <c r="N38" s="261"/>
      <c r="O38" s="261"/>
    </row>
    <row r="39" spans="1:15" ht="27" customHeight="1">
      <c r="A39" s="434">
        <v>4</v>
      </c>
      <c r="B39" s="261" t="s">
        <v>488</v>
      </c>
      <c r="C39" s="419">
        <v>1.7361111111111112E-2</v>
      </c>
      <c r="D39" s="420">
        <v>0.74305555555555547</v>
      </c>
      <c r="E39" s="421">
        <f>D39+C39</f>
        <v>0.76041666666666663</v>
      </c>
      <c r="I39" s="292"/>
      <c r="J39" s="305"/>
      <c r="K39" s="261"/>
      <c r="L39" s="305"/>
    </row>
    <row r="40" spans="1:15" ht="27" customHeight="1">
      <c r="A40" s="434">
        <v>5</v>
      </c>
      <c r="B40" s="261" t="s">
        <v>489</v>
      </c>
      <c r="C40" s="419">
        <v>2.7777777777777776E-2</v>
      </c>
      <c r="D40" s="420">
        <v>0.76597222222222217</v>
      </c>
      <c r="E40" s="421">
        <f>D40+C40</f>
        <v>0.79374999999999996</v>
      </c>
      <c r="I40" s="292"/>
      <c r="J40" s="305"/>
      <c r="K40" s="261"/>
      <c r="L40" s="305"/>
    </row>
    <row r="41" spans="1:15" ht="27" customHeight="1">
      <c r="A41" s="243">
        <v>6</v>
      </c>
      <c r="B41" s="261" t="s">
        <v>439</v>
      </c>
      <c r="C41" s="419">
        <v>1.3888888888888888E-2</v>
      </c>
      <c r="D41" s="420">
        <v>0.78472222222222221</v>
      </c>
      <c r="E41" s="421">
        <f>D41+C41</f>
        <v>0.79861111111111105</v>
      </c>
      <c r="I41" s="292"/>
      <c r="J41" s="305"/>
      <c r="K41" s="261"/>
    </row>
    <row r="42" spans="1:15" ht="27" customHeight="1">
      <c r="A42" s="434">
        <v>7</v>
      </c>
      <c r="B42" s="261" t="s">
        <v>506</v>
      </c>
      <c r="I42" s="272"/>
      <c r="J42" s="261"/>
    </row>
    <row r="43" spans="1:15" ht="27" customHeight="1">
      <c r="A43" s="243">
        <v>9</v>
      </c>
      <c r="B43" s="301" t="s">
        <v>513</v>
      </c>
    </row>
    <row r="44" spans="1:15" ht="27" customHeight="1">
      <c r="A44" s="434">
        <v>10</v>
      </c>
      <c r="B44" s="244" t="s">
        <v>507</v>
      </c>
      <c r="C44" s="408" t="s">
        <v>458</v>
      </c>
      <c r="D44" s="409" t="s">
        <v>459</v>
      </c>
      <c r="E44" s="409" t="s">
        <v>460</v>
      </c>
    </row>
    <row r="45" spans="1:15" ht="27" customHeight="1">
      <c r="A45" s="434">
        <v>11</v>
      </c>
      <c r="B45" s="244" t="s">
        <v>457</v>
      </c>
      <c r="C45" s="417">
        <v>22.5</v>
      </c>
      <c r="D45" s="417">
        <v>3</v>
      </c>
      <c r="E45" s="417">
        <v>12</v>
      </c>
    </row>
    <row r="46" spans="1:15" ht="27" customHeight="1">
      <c r="A46" s="243">
        <v>12</v>
      </c>
      <c r="B46" s="429" t="s">
        <v>490</v>
      </c>
      <c r="C46" s="314"/>
      <c r="D46" s="314"/>
      <c r="E46" s="460">
        <v>38</v>
      </c>
    </row>
    <row r="47" spans="1:15" ht="27" customHeight="1">
      <c r="A47" s="434">
        <v>13</v>
      </c>
      <c r="B47" s="429" t="s">
        <v>422</v>
      </c>
      <c r="C47" s="310"/>
      <c r="D47" s="391" t="s">
        <v>500</v>
      </c>
      <c r="E47" s="391" t="s">
        <v>461</v>
      </c>
    </row>
    <row r="48" spans="1:15" ht="27" customHeight="1">
      <c r="A48" s="434">
        <v>14</v>
      </c>
      <c r="B48" s="301" t="s">
        <v>380</v>
      </c>
      <c r="D48" s="439">
        <v>4.8611111111111112E-2</v>
      </c>
      <c r="E48" s="422">
        <v>0.86805555555555547</v>
      </c>
    </row>
    <row r="49" spans="1:15" ht="27" customHeight="1">
      <c r="A49" s="243">
        <v>15</v>
      </c>
      <c r="B49" s="317" t="str">
        <f>B16</f>
        <v>MAGNUM   (горчив:  12,7%)</v>
      </c>
      <c r="C49" s="405">
        <f>C16</f>
        <v>16.8</v>
      </c>
      <c r="D49" s="419">
        <v>4.1666666666666664E-2</v>
      </c>
      <c r="E49" s="419">
        <f>E50-D49</f>
        <v>0.875</v>
      </c>
    </row>
    <row r="50" spans="1:15" ht="27" customHeight="1">
      <c r="A50" s="434">
        <v>16</v>
      </c>
      <c r="B50" s="319" t="s">
        <v>340</v>
      </c>
      <c r="D50" s="395" t="s">
        <v>497</v>
      </c>
      <c r="E50" s="440">
        <f>E48+D48</f>
        <v>0.91666666666666663</v>
      </c>
      <c r="F50" s="322"/>
      <c r="I50" s="261"/>
      <c r="J50" s="261"/>
      <c r="K50" s="261"/>
      <c r="N50" s="261"/>
      <c r="O50" s="261"/>
    </row>
    <row r="51" spans="1:15" ht="27" customHeight="1">
      <c r="A51" s="434">
        <v>17</v>
      </c>
      <c r="B51" s="441" t="s">
        <v>512</v>
      </c>
      <c r="C51" s="427"/>
      <c r="D51" s="427"/>
      <c r="F51" s="305"/>
      <c r="I51" s="261"/>
      <c r="J51" s="261"/>
      <c r="K51" s="261"/>
      <c r="N51" s="261"/>
      <c r="O51" s="261"/>
    </row>
    <row r="52" spans="1:15" ht="27" customHeight="1">
      <c r="A52" s="243">
        <v>20</v>
      </c>
      <c r="B52" s="443" t="s">
        <v>511</v>
      </c>
      <c r="C52" s="314"/>
      <c r="D52" s="314"/>
      <c r="E52" s="416">
        <v>25</v>
      </c>
      <c r="I52" s="261"/>
      <c r="J52" s="261"/>
      <c r="K52" s="261"/>
      <c r="N52" s="261"/>
      <c r="O52" s="261"/>
    </row>
    <row r="53" spans="1:15" ht="27" customHeight="1">
      <c r="A53" s="434">
        <v>19</v>
      </c>
      <c r="B53" s="426" t="s">
        <v>498</v>
      </c>
      <c r="C53" s="427"/>
      <c r="D53" s="427"/>
      <c r="E53" s="417">
        <v>15</v>
      </c>
      <c r="F53" s="305"/>
      <c r="I53" s="261"/>
      <c r="J53" s="261"/>
      <c r="K53" s="261"/>
      <c r="N53" s="261"/>
      <c r="O53" s="261"/>
    </row>
    <row r="54" spans="1:15" ht="27" customHeight="1">
      <c r="A54" s="243">
        <v>22</v>
      </c>
      <c r="B54" s="317" t="str">
        <f>B20</f>
        <v>настъргани портокали кори в чорапче</v>
      </c>
      <c r="D54" s="314"/>
      <c r="E54" s="451">
        <f>D20</f>
        <v>12.6</v>
      </c>
      <c r="I54" s="261"/>
      <c r="J54" s="261"/>
      <c r="K54" s="261"/>
      <c r="N54" s="261"/>
      <c r="O54" s="261"/>
    </row>
    <row r="55" spans="1:15" ht="27" customHeight="1">
      <c r="A55" s="434">
        <v>23</v>
      </c>
      <c r="B55" s="317" t="str">
        <f>B21</f>
        <v>счукан кориандър в чорапче</v>
      </c>
      <c r="D55" s="314"/>
      <c r="E55" s="398">
        <f>D21</f>
        <v>16.8</v>
      </c>
      <c r="I55" s="261"/>
      <c r="J55" s="261"/>
      <c r="K55" s="261"/>
      <c r="N55" s="261"/>
      <c r="O55" s="261"/>
    </row>
    <row r="56" spans="1:15" ht="27" customHeight="1">
      <c r="A56" s="243">
        <v>24</v>
      </c>
      <c r="B56" s="261" t="s">
        <v>516</v>
      </c>
      <c r="C56" s="394" t="s">
        <v>441</v>
      </c>
      <c r="D56" s="448">
        <v>42425</v>
      </c>
      <c r="E56" s="449">
        <v>0.49305555555555558</v>
      </c>
      <c r="I56" s="261"/>
      <c r="J56" s="261"/>
      <c r="K56" s="261"/>
      <c r="N56" s="261"/>
      <c r="O56" s="261"/>
    </row>
    <row r="57" spans="1:15" ht="27" customHeight="1">
      <c r="A57" s="434">
        <v>25</v>
      </c>
      <c r="B57" s="708" t="s">
        <v>522</v>
      </c>
      <c r="C57" s="708"/>
      <c r="D57" s="708"/>
      <c r="E57" s="708"/>
      <c r="F57" s="305"/>
      <c r="I57" s="261"/>
      <c r="J57" s="261"/>
      <c r="K57" s="261"/>
      <c r="N57" s="261"/>
      <c r="O57" s="261"/>
    </row>
    <row r="58" spans="1:15" s="317" customFormat="1" ht="27" customHeight="1">
      <c r="A58" s="243">
        <v>26</v>
      </c>
      <c r="B58" s="709" t="s">
        <v>509</v>
      </c>
      <c r="C58" s="709"/>
      <c r="D58" s="710"/>
      <c r="E58" s="417">
        <v>3</v>
      </c>
      <c r="F58" s="324"/>
    </row>
    <row r="59" spans="1:15" s="317" customFormat="1" ht="27" customHeight="1">
      <c r="A59" s="243">
        <v>28</v>
      </c>
      <c r="B59" s="442" t="s">
        <v>514</v>
      </c>
      <c r="D59" s="395" t="s">
        <v>515</v>
      </c>
      <c r="E59" s="448">
        <v>42432</v>
      </c>
      <c r="F59" s="324"/>
    </row>
    <row r="61" spans="1:15" s="325" customFormat="1" ht="27" customHeight="1">
      <c r="B61" s="326" t="s">
        <v>71</v>
      </c>
      <c r="E61" s="461"/>
    </row>
    <row r="62" spans="1:15" s="325" customFormat="1" ht="27" customHeight="1">
      <c r="B62" s="327" t="s">
        <v>416</v>
      </c>
      <c r="E62" s="456">
        <v>22.5</v>
      </c>
    </row>
    <row r="63" spans="1:15" s="325" customFormat="1" ht="27" customHeight="1">
      <c r="B63" s="328" t="s">
        <v>366</v>
      </c>
      <c r="E63" s="457">
        <v>1.5</v>
      </c>
    </row>
    <row r="64" spans="1:15" s="325" customFormat="1" ht="27" customHeight="1">
      <c r="B64" s="328" t="s">
        <v>75</v>
      </c>
      <c r="E64" s="331">
        <v>7</v>
      </c>
    </row>
    <row r="65" spans="1:15" s="325" customFormat="1" ht="27" customHeight="1">
      <c r="B65" s="328" t="s">
        <v>414</v>
      </c>
      <c r="E65" s="331">
        <f>1*E62*10*80%</f>
        <v>180</v>
      </c>
    </row>
    <row r="66" spans="1:15" s="325" customFormat="1" ht="27" customHeight="1">
      <c r="B66" s="332" t="s">
        <v>415</v>
      </c>
      <c r="E66" s="333">
        <f>E63*E64/E65</f>
        <v>5.8333333333333334E-2</v>
      </c>
    </row>
    <row r="67" spans="1:15" s="325" customFormat="1" ht="27" customHeight="1">
      <c r="B67" s="334"/>
      <c r="D67" s="335"/>
      <c r="E67" s="461"/>
    </row>
    <row r="68" spans="1:15" ht="27" customHeight="1">
      <c r="B68" s="336" t="s">
        <v>202</v>
      </c>
      <c r="C68" s="305"/>
      <c r="D68" s="305"/>
      <c r="I68" s="261"/>
      <c r="J68" s="261"/>
      <c r="K68" s="261"/>
      <c r="N68" s="261"/>
      <c r="O68" s="261"/>
    </row>
    <row r="69" spans="1:15" s="298" customFormat="1" ht="27" customHeight="1">
      <c r="A69" s="337"/>
      <c r="B69" s="338" t="s">
        <v>413</v>
      </c>
      <c r="C69" s="339"/>
      <c r="D69" s="339"/>
      <c r="E69" s="458">
        <f>(E53-E58)*0.52</f>
        <v>6.24</v>
      </c>
      <c r="I69" s="297"/>
      <c r="J69" s="297"/>
      <c r="K69" s="297"/>
      <c r="N69" s="341"/>
      <c r="O69" s="297"/>
    </row>
    <row r="70" spans="1:15" s="298" customFormat="1" ht="27" customHeight="1">
      <c r="A70" s="337"/>
      <c r="B70" s="342" t="s">
        <v>223</v>
      </c>
      <c r="C70" s="339"/>
      <c r="D70" s="339"/>
      <c r="E70" s="459">
        <f>E53</f>
        <v>15</v>
      </c>
      <c r="I70" s="297"/>
      <c r="J70" s="297"/>
      <c r="K70" s="297"/>
      <c r="N70" s="341"/>
      <c r="O70" s="297"/>
    </row>
    <row r="71" spans="1:15" s="298" customFormat="1" ht="27" customHeight="1">
      <c r="A71" s="337"/>
      <c r="B71" s="344" t="s">
        <v>219</v>
      </c>
      <c r="C71" s="345"/>
      <c r="D71" s="345"/>
      <c r="E71" s="392">
        <v>20</v>
      </c>
    </row>
    <row r="72" spans="1:15" s="298" customFormat="1" ht="27" customHeight="1">
      <c r="A72" s="337"/>
      <c r="B72" s="344" t="s">
        <v>218</v>
      </c>
      <c r="C72" s="347"/>
      <c r="E72" s="453">
        <v>3.7</v>
      </c>
    </row>
    <row r="73" spans="1:15" s="298" customFormat="1" ht="27" customHeight="1">
      <c r="A73" s="337"/>
      <c r="B73" s="349" t="s">
        <v>224</v>
      </c>
      <c r="C73" s="345"/>
      <c r="D73" s="345"/>
      <c r="E73" s="454">
        <f>(E53/(258.6-((E53/258.2)*227.1))) + 1</f>
        <v>1.0611230158692584</v>
      </c>
    </row>
    <row r="74" spans="1:15" s="298" customFormat="1" ht="27" customHeight="1">
      <c r="A74" s="337"/>
      <c r="B74" s="351" t="s">
        <v>225</v>
      </c>
      <c r="C74" s="345"/>
      <c r="D74" s="345"/>
      <c r="E74" s="455">
        <f>(E58/(258.6-((E58/258.2)*227.1))) + 1</f>
        <v>1.0117205196248344</v>
      </c>
    </row>
    <row r="75" spans="1:15" s="298" customFormat="1" ht="27" customHeight="1">
      <c r="A75" s="337"/>
      <c r="E75" s="347"/>
    </row>
    <row r="76" spans="1:15" s="298" customFormat="1" ht="27" customHeight="1">
      <c r="A76" s="337"/>
      <c r="B76" s="374" t="s">
        <v>154</v>
      </c>
      <c r="E76" s="353">
        <f>((E77*E78)/E79)/100</f>
        <v>0.6</v>
      </c>
      <c r="I76" s="297"/>
      <c r="J76" s="297"/>
      <c r="K76" s="297"/>
      <c r="N76" s="341"/>
      <c r="O76" s="297"/>
    </row>
    <row r="77" spans="1:15" s="298" customFormat="1" ht="27" customHeight="1">
      <c r="A77" s="337"/>
      <c r="B77" s="354" t="s">
        <v>510</v>
      </c>
      <c r="E77" s="355">
        <f>E5</f>
        <v>28</v>
      </c>
      <c r="I77" s="297"/>
      <c r="J77" s="297"/>
      <c r="K77" s="297"/>
      <c r="N77" s="341"/>
      <c r="O77" s="297"/>
    </row>
    <row r="78" spans="1:15" s="298" customFormat="1" ht="27" customHeight="1">
      <c r="A78" s="337"/>
      <c r="B78" s="354" t="s">
        <v>361</v>
      </c>
      <c r="E78" s="356">
        <f>E53</f>
        <v>15</v>
      </c>
      <c r="I78" s="297"/>
      <c r="J78" s="297"/>
      <c r="K78" s="297"/>
      <c r="N78" s="341"/>
      <c r="O78" s="297"/>
    </row>
    <row r="79" spans="1:15" s="298" customFormat="1" ht="27" customHeight="1">
      <c r="A79" s="337"/>
      <c r="B79" s="357" t="s">
        <v>153</v>
      </c>
      <c r="E79" s="415">
        <f>C5</f>
        <v>7</v>
      </c>
      <c r="I79" s="297"/>
      <c r="J79" s="297"/>
      <c r="K79" s="297"/>
      <c r="N79" s="341"/>
      <c r="O79" s="297"/>
    </row>
    <row r="80" spans="1:15" s="298" customFormat="1" ht="27" customHeight="1">
      <c r="A80" s="337"/>
      <c r="E80" s="347"/>
      <c r="I80" s="297"/>
      <c r="J80" s="297"/>
      <c r="K80" s="297"/>
      <c r="N80" s="341"/>
      <c r="O80" s="297"/>
    </row>
    <row r="81" spans="1:15" s="298" customFormat="1" ht="27" customHeight="1">
      <c r="A81" s="337"/>
      <c r="B81" s="359" t="s">
        <v>220</v>
      </c>
      <c r="E81" s="347"/>
      <c r="I81" s="297"/>
      <c r="J81" s="297"/>
      <c r="K81" s="297"/>
      <c r="N81" s="341"/>
      <c r="O81" s="297"/>
    </row>
    <row r="82" spans="1:15" s="298" customFormat="1" ht="27" customHeight="1">
      <c r="A82" s="337"/>
      <c r="E82" s="347"/>
      <c r="I82" s="297"/>
      <c r="J82" s="297"/>
      <c r="K82" s="297"/>
      <c r="N82" s="341"/>
      <c r="O82" s="297"/>
    </row>
    <row r="83" spans="1:15" ht="27" customHeight="1">
      <c r="B83" s="317"/>
    </row>
    <row r="84" spans="1:15" ht="27" customHeight="1">
      <c r="B84" s="317"/>
      <c r="F84"/>
    </row>
    <row r="85" spans="1:15" ht="27" customHeight="1">
      <c r="B85" s="317"/>
      <c r="D85" s="704" t="s">
        <v>339</v>
      </c>
      <c r="E85" s="705"/>
    </row>
    <row r="86" spans="1:15" ht="27" customHeight="1">
      <c r="D86" s="360" t="s">
        <v>238</v>
      </c>
      <c r="E86" s="360" t="s">
        <v>239</v>
      </c>
    </row>
    <row r="87" spans="1:15" ht="27" customHeight="1">
      <c r="D87" s="361">
        <v>0.5</v>
      </c>
      <c r="E87" s="450">
        <v>1.002</v>
      </c>
    </row>
    <row r="88" spans="1:15" ht="27" customHeight="1">
      <c r="D88" s="361">
        <v>1</v>
      </c>
      <c r="E88" s="450">
        <v>1.004</v>
      </c>
      <c r="F88" s="452">
        <f t="shared" ref="F88:F151" si="0">(D88/(258.6-((D88/258.2)*227.1))) + 1</f>
        <v>1.0038801732763361</v>
      </c>
    </row>
    <row r="89" spans="1:15" ht="27" customHeight="1">
      <c r="D89" s="361">
        <v>1.5</v>
      </c>
      <c r="E89" s="450">
        <v>1.006</v>
      </c>
      <c r="F89" s="452">
        <f t="shared" si="0"/>
        <v>1.0058302086094704</v>
      </c>
    </row>
    <row r="90" spans="1:15" ht="27" customHeight="1">
      <c r="D90" s="361">
        <v>2</v>
      </c>
      <c r="E90" s="450">
        <v>1.008</v>
      </c>
      <c r="F90" s="452">
        <f t="shared" si="0"/>
        <v>1.0077869218316096</v>
      </c>
    </row>
    <row r="91" spans="1:15" ht="27" customHeight="1">
      <c r="D91" s="361">
        <v>2.5</v>
      </c>
      <c r="E91" s="450">
        <v>1.01</v>
      </c>
      <c r="F91" s="452">
        <f t="shared" si="0"/>
        <v>1.0097503473041989</v>
      </c>
    </row>
    <row r="92" spans="1:15" ht="27" customHeight="1">
      <c r="D92" s="361">
        <v>3</v>
      </c>
      <c r="E92" s="450">
        <v>1.012</v>
      </c>
      <c r="F92" s="452">
        <f t="shared" si="0"/>
        <v>1.0117205196248344</v>
      </c>
    </row>
    <row r="93" spans="1:15" ht="27" customHeight="1">
      <c r="D93" s="361">
        <v>3.5</v>
      </c>
      <c r="E93" s="450">
        <v>1.014</v>
      </c>
      <c r="F93" s="452">
        <f t="shared" si="0"/>
        <v>1.0136974736292939</v>
      </c>
    </row>
    <row r="94" spans="1:15" ht="27" customHeight="1">
      <c r="A94" s="261"/>
      <c r="D94" s="361">
        <v>4</v>
      </c>
      <c r="E94" s="450">
        <v>1.016</v>
      </c>
      <c r="F94" s="452">
        <f t="shared" si="0"/>
        <v>1.0156812443935908</v>
      </c>
      <c r="I94" s="261"/>
      <c r="J94" s="261"/>
      <c r="K94" s="261"/>
      <c r="N94" s="261"/>
      <c r="O94" s="261"/>
    </row>
    <row r="95" spans="1:15" ht="27" customHeight="1">
      <c r="A95" s="261"/>
      <c r="D95" s="361">
        <v>4.5</v>
      </c>
      <c r="E95" s="450">
        <v>1.018</v>
      </c>
      <c r="F95" s="452">
        <f t="shared" si="0"/>
        <v>1.0176718672360479</v>
      </c>
      <c r="I95" s="261"/>
      <c r="J95" s="261"/>
      <c r="K95" s="261"/>
      <c r="N95" s="261"/>
      <c r="O95" s="261"/>
    </row>
    <row r="96" spans="1:15" ht="27" customHeight="1">
      <c r="A96" s="261"/>
      <c r="D96" s="361">
        <v>5</v>
      </c>
      <c r="E96" s="450">
        <v>1.02</v>
      </c>
      <c r="F96" s="452">
        <f t="shared" si="0"/>
        <v>1.0196693777193944</v>
      </c>
      <c r="I96" s="261"/>
      <c r="J96" s="261"/>
      <c r="K96" s="261"/>
      <c r="N96" s="261"/>
      <c r="O96" s="261"/>
    </row>
    <row r="97" spans="1:15" ht="27" customHeight="1">
      <c r="A97" s="261"/>
      <c r="D97" s="361">
        <v>5.5</v>
      </c>
      <c r="E97" s="450">
        <v>1.022</v>
      </c>
      <c r="F97" s="452">
        <f t="shared" si="0"/>
        <v>1.0216738116528827</v>
      </c>
      <c r="I97" s="261"/>
      <c r="J97" s="261"/>
      <c r="K97" s="261"/>
      <c r="N97" s="261"/>
      <c r="O97" s="261"/>
    </row>
    <row r="98" spans="1:15" ht="27" customHeight="1">
      <c r="A98" s="261"/>
      <c r="D98" s="361">
        <v>6</v>
      </c>
      <c r="E98" s="450">
        <v>1.024</v>
      </c>
      <c r="F98" s="452">
        <f t="shared" si="0"/>
        <v>1.023685205094429</v>
      </c>
      <c r="I98" s="261"/>
      <c r="J98" s="261"/>
      <c r="K98" s="261"/>
      <c r="N98" s="261"/>
      <c r="O98" s="261"/>
    </row>
    <row r="99" spans="1:15" ht="27" customHeight="1">
      <c r="A99" s="261"/>
      <c r="D99" s="361">
        <v>6.5</v>
      </c>
      <c r="E99" s="450">
        <v>1.026</v>
      </c>
      <c r="F99" s="452">
        <f t="shared" si="0"/>
        <v>1.025703594352775</v>
      </c>
      <c r="I99" s="261"/>
      <c r="J99" s="261"/>
      <c r="K99" s="261"/>
      <c r="N99" s="261"/>
      <c r="O99" s="261"/>
    </row>
    <row r="100" spans="1:15" ht="27" customHeight="1">
      <c r="A100" s="261"/>
      <c r="D100" s="361">
        <v>7</v>
      </c>
      <c r="E100" s="450">
        <v>1.028</v>
      </c>
      <c r="F100" s="452">
        <f t="shared" si="0"/>
        <v>1.027729015989673</v>
      </c>
      <c r="I100" s="261"/>
      <c r="J100" s="261"/>
      <c r="K100" s="261"/>
      <c r="N100" s="261"/>
      <c r="O100" s="261"/>
    </row>
    <row r="101" spans="1:15" ht="27" customHeight="1">
      <c r="A101" s="261"/>
      <c r="D101" s="361">
        <v>7.5</v>
      </c>
      <c r="E101" s="450">
        <v>1.03</v>
      </c>
      <c r="F101" s="452">
        <f t="shared" si="0"/>
        <v>1.0297615068220936</v>
      </c>
      <c r="I101" s="261"/>
      <c r="J101" s="261"/>
      <c r="K101" s="261"/>
      <c r="N101" s="261"/>
      <c r="O101" s="261"/>
    </row>
    <row r="102" spans="1:15" ht="27" customHeight="1">
      <c r="A102" s="261"/>
      <c r="D102" s="361">
        <v>8</v>
      </c>
      <c r="E102" s="450">
        <v>1.032</v>
      </c>
      <c r="F102" s="452">
        <f t="shared" si="0"/>
        <v>1.0318011039244557</v>
      </c>
      <c r="I102" s="261"/>
      <c r="J102" s="261"/>
      <c r="K102" s="261"/>
      <c r="N102" s="261"/>
      <c r="O102" s="261"/>
    </row>
    <row r="103" spans="1:15" ht="27" customHeight="1">
      <c r="A103" s="261"/>
      <c r="D103" s="361">
        <v>8.5</v>
      </c>
      <c r="E103" s="450">
        <v>1.034</v>
      </c>
      <c r="F103" s="452">
        <f t="shared" si="0"/>
        <v>1.0338478446308823</v>
      </c>
      <c r="I103" s="261"/>
      <c r="J103" s="261"/>
      <c r="K103" s="261"/>
      <c r="N103" s="261"/>
      <c r="O103" s="261"/>
    </row>
    <row r="104" spans="1:15" ht="27" customHeight="1">
      <c r="A104" s="261"/>
      <c r="D104" s="361">
        <v>9</v>
      </c>
      <c r="E104" s="450">
        <v>1.036</v>
      </c>
      <c r="F104" s="452">
        <f t="shared" si="0"/>
        <v>1.0359017665374772</v>
      </c>
      <c r="I104" s="261"/>
      <c r="J104" s="261"/>
      <c r="K104" s="261"/>
      <c r="N104" s="261"/>
      <c r="O104" s="261"/>
    </row>
    <row r="105" spans="1:15" ht="27" customHeight="1">
      <c r="A105" s="261"/>
      <c r="D105" s="361">
        <v>9.5</v>
      </c>
      <c r="E105" s="450">
        <v>1.038</v>
      </c>
      <c r="F105" s="452">
        <f t="shared" si="0"/>
        <v>1.0379629075046271</v>
      </c>
      <c r="I105" s="261"/>
      <c r="J105" s="261"/>
      <c r="K105" s="261"/>
      <c r="N105" s="261"/>
      <c r="O105" s="261"/>
    </row>
    <row r="106" spans="1:15" ht="27" customHeight="1">
      <c r="A106" s="261"/>
      <c r="D106" s="361">
        <v>10</v>
      </c>
      <c r="E106" s="450">
        <v>1.04</v>
      </c>
      <c r="F106" s="452">
        <f t="shared" si="0"/>
        <v>1.0400313056593289</v>
      </c>
      <c r="I106" s="261"/>
      <c r="J106" s="261"/>
      <c r="K106" s="261"/>
      <c r="N106" s="261"/>
      <c r="O106" s="261"/>
    </row>
    <row r="107" spans="1:15" ht="27" customHeight="1">
      <c r="A107" s="261"/>
      <c r="D107" s="361">
        <v>10.5</v>
      </c>
      <c r="E107" s="450">
        <v>1.042</v>
      </c>
      <c r="F107" s="452">
        <f t="shared" si="0"/>
        <v>1.0421069993975396</v>
      </c>
      <c r="I107" s="261"/>
      <c r="J107" s="261"/>
      <c r="K107" s="261"/>
      <c r="N107" s="261"/>
      <c r="O107" s="261"/>
    </row>
    <row r="108" spans="1:15" ht="27" customHeight="1">
      <c r="A108" s="261"/>
      <c r="D108" s="361">
        <v>11</v>
      </c>
      <c r="E108" s="450">
        <v>1.044</v>
      </c>
      <c r="F108" s="452">
        <f t="shared" si="0"/>
        <v>1.0441900273865525</v>
      </c>
      <c r="I108" s="261"/>
      <c r="J108" s="261"/>
      <c r="K108" s="261"/>
      <c r="N108" s="261"/>
      <c r="O108" s="261"/>
    </row>
    <row r="109" spans="1:15" ht="27" customHeight="1">
      <c r="A109" s="261"/>
      <c r="D109" s="361">
        <v>11.5</v>
      </c>
      <c r="E109" s="450">
        <v>1.046</v>
      </c>
      <c r="F109" s="452">
        <f t="shared" si="0"/>
        <v>1.0462804285673983</v>
      </c>
      <c r="I109" s="261"/>
      <c r="J109" s="261"/>
      <c r="K109" s="261"/>
      <c r="N109" s="261"/>
      <c r="O109" s="261"/>
    </row>
    <row r="110" spans="1:15" ht="27" customHeight="1">
      <c r="A110" s="261"/>
      <c r="D110" s="361">
        <v>12</v>
      </c>
      <c r="E110" s="450">
        <v>1.048</v>
      </c>
      <c r="F110" s="452">
        <f t="shared" si="0"/>
        <v>1.0483782421572725</v>
      </c>
      <c r="I110" s="261"/>
      <c r="J110" s="261"/>
      <c r="K110" s="261"/>
      <c r="N110" s="261"/>
      <c r="O110" s="261"/>
    </row>
    <row r="111" spans="1:15" ht="27" customHeight="1">
      <c r="A111" s="261"/>
      <c r="D111" s="361">
        <v>12.5</v>
      </c>
      <c r="E111" s="450">
        <v>1.05</v>
      </c>
      <c r="F111" s="452">
        <f t="shared" si="0"/>
        <v>1.0504835076519858</v>
      </c>
      <c r="I111" s="261"/>
      <c r="J111" s="261"/>
      <c r="K111" s="261"/>
      <c r="N111" s="261"/>
      <c r="O111" s="261"/>
    </row>
    <row r="112" spans="1:15" ht="27" customHeight="1">
      <c r="A112" s="261"/>
      <c r="D112" s="361">
        <v>13</v>
      </c>
      <c r="E112" s="450">
        <v>1.0529999999999999</v>
      </c>
      <c r="F112" s="452">
        <f t="shared" si="0"/>
        <v>1.0525962648284455</v>
      </c>
      <c r="I112" s="261"/>
      <c r="J112" s="261"/>
      <c r="K112" s="261"/>
      <c r="N112" s="261"/>
      <c r="O112" s="261"/>
    </row>
    <row r="113" spans="1:15" ht="27" customHeight="1">
      <c r="A113" s="261"/>
      <c r="D113" s="361">
        <v>13.5</v>
      </c>
      <c r="E113" s="450">
        <v>1.0549999999999999</v>
      </c>
      <c r="F113" s="452">
        <f t="shared" si="0"/>
        <v>1.0547165537471586</v>
      </c>
      <c r="I113" s="261"/>
      <c r="J113" s="261"/>
      <c r="K113" s="261"/>
      <c r="N113" s="261"/>
      <c r="O113" s="261"/>
    </row>
    <row r="114" spans="1:15" ht="27" customHeight="1">
      <c r="A114" s="261"/>
      <c r="D114" s="361">
        <v>14</v>
      </c>
      <c r="E114" s="450">
        <v>1.0569999999999999</v>
      </c>
      <c r="F114" s="452">
        <f t="shared" si="0"/>
        <v>1.0568444147547644</v>
      </c>
      <c r="I114" s="261"/>
      <c r="J114" s="261"/>
      <c r="K114" s="261"/>
      <c r="N114" s="261"/>
      <c r="O114" s="261"/>
    </row>
    <row r="115" spans="1:15" ht="27" customHeight="1">
      <c r="A115" s="261"/>
      <c r="D115" s="361">
        <v>14.5</v>
      </c>
      <c r="E115" s="450">
        <v>1.0589999999999999</v>
      </c>
      <c r="F115" s="452">
        <f t="shared" si="0"/>
        <v>1.0589798884865946</v>
      </c>
      <c r="I115" s="261"/>
      <c r="J115" s="261"/>
      <c r="K115" s="261"/>
      <c r="N115" s="261"/>
      <c r="O115" s="261"/>
    </row>
    <row r="116" spans="1:15" ht="27" customHeight="1">
      <c r="A116" s="261"/>
      <c r="D116" s="361">
        <v>15</v>
      </c>
      <c r="E116" s="450">
        <v>1.0609999999999999</v>
      </c>
      <c r="F116" s="452">
        <f t="shared" si="0"/>
        <v>1.0611230158692584</v>
      </c>
      <c r="I116" s="261"/>
      <c r="J116" s="261"/>
      <c r="K116" s="261"/>
      <c r="N116" s="261"/>
      <c r="O116" s="261"/>
    </row>
    <row r="117" spans="1:15" ht="27" customHeight="1">
      <c r="A117" s="261"/>
      <c r="D117" s="361">
        <v>15.5</v>
      </c>
      <c r="E117" s="450">
        <v>1.0629999999999999</v>
      </c>
      <c r="F117" s="452">
        <f t="shared" si="0"/>
        <v>1.0632738381232583</v>
      </c>
      <c r="I117" s="261"/>
      <c r="J117" s="261"/>
      <c r="K117" s="261"/>
      <c r="N117" s="261"/>
      <c r="O117" s="261"/>
    </row>
    <row r="118" spans="1:15" ht="27" customHeight="1">
      <c r="A118" s="261"/>
      <c r="D118" s="361">
        <v>16</v>
      </c>
      <c r="E118" s="450">
        <v>1.0649999999999999</v>
      </c>
      <c r="F118" s="452">
        <f t="shared" si="0"/>
        <v>1.0654323967656325</v>
      </c>
      <c r="I118" s="261"/>
      <c r="J118" s="261"/>
      <c r="K118" s="261"/>
      <c r="N118" s="261"/>
      <c r="O118" s="261"/>
    </row>
    <row r="119" spans="1:15" ht="27" customHeight="1">
      <c r="A119" s="261"/>
      <c r="D119" s="361">
        <v>16.5</v>
      </c>
      <c r="E119" s="450">
        <v>1.0680000000000001</v>
      </c>
      <c r="F119" s="452">
        <f t="shared" si="0"/>
        <v>1.0675987336126265</v>
      </c>
      <c r="I119" s="261"/>
      <c r="J119" s="261"/>
      <c r="K119" s="261"/>
      <c r="N119" s="261"/>
      <c r="O119" s="261"/>
    </row>
    <row r="120" spans="1:15" ht="27" customHeight="1">
      <c r="A120" s="261"/>
      <c r="D120" s="361">
        <v>17</v>
      </c>
      <c r="E120" s="450">
        <v>1.07</v>
      </c>
      <c r="F120" s="452">
        <f t="shared" si="0"/>
        <v>1.0697728907823929</v>
      </c>
      <c r="I120" s="261"/>
      <c r="J120" s="261"/>
      <c r="K120" s="261"/>
      <c r="N120" s="261"/>
      <c r="O120" s="261"/>
    </row>
    <row r="121" spans="1:15" ht="27" customHeight="1">
      <c r="A121" s="261"/>
      <c r="D121" s="361">
        <v>17.5</v>
      </c>
      <c r="E121" s="450">
        <v>1.0720000000000001</v>
      </c>
      <c r="F121" s="452">
        <f t="shared" si="0"/>
        <v>1.0719549106977213</v>
      </c>
      <c r="I121" s="261"/>
      <c r="J121" s="261"/>
      <c r="K121" s="261"/>
      <c r="N121" s="261"/>
      <c r="O121" s="261"/>
    </row>
    <row r="122" spans="1:15" ht="27" customHeight="1">
      <c r="A122" s="261"/>
      <c r="D122" s="361">
        <v>18</v>
      </c>
      <c r="E122" s="450">
        <v>1.0740000000000001</v>
      </c>
      <c r="F122" s="452">
        <f t="shared" si="0"/>
        <v>1.0741448360887977</v>
      </c>
      <c r="I122" s="261"/>
      <c r="J122" s="261"/>
      <c r="K122" s="261"/>
      <c r="N122" s="261"/>
      <c r="O122" s="261"/>
    </row>
    <row r="123" spans="1:15" ht="27" customHeight="1">
      <c r="A123" s="261"/>
      <c r="D123" s="361">
        <v>18.5</v>
      </c>
      <c r="E123" s="450">
        <v>1.0760000000000001</v>
      </c>
      <c r="F123" s="452">
        <f t="shared" si="0"/>
        <v>1.0763427099959932</v>
      </c>
      <c r="I123" s="261"/>
      <c r="J123" s="261"/>
      <c r="K123" s="261"/>
      <c r="N123" s="261"/>
      <c r="O123" s="261"/>
    </row>
    <row r="124" spans="1:15" ht="27" customHeight="1">
      <c r="A124" s="261"/>
      <c r="D124" s="361">
        <v>19</v>
      </c>
      <c r="E124" s="450">
        <v>1.079</v>
      </c>
      <c r="F124" s="452">
        <f t="shared" si="0"/>
        <v>1.0785485757726847</v>
      </c>
      <c r="I124" s="261"/>
      <c r="J124" s="261"/>
      <c r="K124" s="261"/>
      <c r="N124" s="261"/>
      <c r="O124" s="261"/>
    </row>
    <row r="125" spans="1:15" ht="27" customHeight="1">
      <c r="A125" s="261"/>
      <c r="D125" s="361">
        <v>19.5</v>
      </c>
      <c r="E125" s="450">
        <v>1.081</v>
      </c>
      <c r="F125" s="452">
        <f t="shared" si="0"/>
        <v>1.0807624770881044</v>
      </c>
      <c r="I125" s="261"/>
      <c r="J125" s="261"/>
      <c r="K125" s="261"/>
      <c r="N125" s="261"/>
      <c r="O125" s="261"/>
    </row>
    <row r="126" spans="1:15" ht="27" customHeight="1">
      <c r="A126" s="261"/>
      <c r="D126" s="361">
        <v>20</v>
      </c>
      <c r="E126" s="450">
        <v>1.083</v>
      </c>
      <c r="F126" s="452">
        <f t="shared" si="0"/>
        <v>1.0829844579302224</v>
      </c>
      <c r="I126" s="261"/>
      <c r="J126" s="261"/>
      <c r="K126" s="261"/>
      <c r="N126" s="261"/>
      <c r="O126" s="261"/>
    </row>
    <row r="127" spans="1:15" ht="27" customHeight="1">
      <c r="A127" s="261"/>
      <c r="D127" s="361">
        <v>20.5</v>
      </c>
      <c r="E127" s="450">
        <v>1.085</v>
      </c>
      <c r="F127" s="452">
        <f t="shared" si="0"/>
        <v>1.0852145626086593</v>
      </c>
      <c r="I127" s="261"/>
      <c r="J127" s="261"/>
      <c r="K127" s="261"/>
      <c r="N127" s="261"/>
      <c r="O127" s="261"/>
    </row>
    <row r="128" spans="1:15" ht="27" customHeight="1">
      <c r="A128" s="261"/>
      <c r="D128" s="361">
        <v>21</v>
      </c>
      <c r="E128" s="450">
        <v>1.087</v>
      </c>
      <c r="F128" s="452">
        <f t="shared" si="0"/>
        <v>1.0874528357576327</v>
      </c>
      <c r="I128" s="261"/>
      <c r="J128" s="261"/>
      <c r="K128" s="261"/>
      <c r="N128" s="261"/>
      <c r="O128" s="261"/>
    </row>
    <row r="129" spans="1:15" ht="27" customHeight="1">
      <c r="A129" s="261"/>
      <c r="D129" s="361">
        <v>21.5</v>
      </c>
      <c r="E129" s="450">
        <v>1.0900000000000001</v>
      </c>
      <c r="F129" s="452">
        <f t="shared" si="0"/>
        <v>1.0896993223389333</v>
      </c>
      <c r="I129" s="261"/>
      <c r="J129" s="261"/>
      <c r="K129" s="261"/>
      <c r="N129" s="261"/>
      <c r="O129" s="261"/>
    </row>
    <row r="130" spans="1:15" ht="27" customHeight="1">
      <c r="A130" s="261"/>
      <c r="D130" s="361">
        <v>22</v>
      </c>
      <c r="E130" s="450">
        <v>1.0920000000000001</v>
      </c>
      <c r="F130" s="452">
        <f t="shared" si="0"/>
        <v>1.0919540676449373</v>
      </c>
      <c r="I130" s="261"/>
      <c r="J130" s="261"/>
      <c r="K130" s="261"/>
      <c r="N130" s="261"/>
      <c r="O130" s="261"/>
    </row>
    <row r="131" spans="1:15" ht="27" customHeight="1">
      <c r="A131" s="261"/>
      <c r="D131" s="361">
        <v>22.5</v>
      </c>
      <c r="E131" s="450">
        <v>1.0940000000000001</v>
      </c>
      <c r="F131" s="452">
        <f t="shared" si="0"/>
        <v>1.0942171173016491</v>
      </c>
      <c r="I131" s="261"/>
      <c r="J131" s="261"/>
      <c r="K131" s="261"/>
      <c r="N131" s="261"/>
      <c r="O131" s="261"/>
    </row>
    <row r="132" spans="1:15" ht="27" customHeight="1">
      <c r="A132" s="261"/>
      <c r="D132" s="361">
        <v>23</v>
      </c>
      <c r="E132" s="450">
        <v>1.0960000000000001</v>
      </c>
      <c r="F132" s="452">
        <f t="shared" si="0"/>
        <v>1.0964885172717793</v>
      </c>
      <c r="I132" s="261"/>
      <c r="J132" s="261"/>
      <c r="K132" s="261"/>
      <c r="N132" s="261"/>
      <c r="O132" s="261"/>
    </row>
    <row r="133" spans="1:15" ht="27" customHeight="1">
      <c r="A133" s="261"/>
      <c r="D133" s="361">
        <v>23.5</v>
      </c>
      <c r="E133" s="450">
        <v>1.099</v>
      </c>
      <c r="F133" s="452">
        <f t="shared" si="0"/>
        <v>1.0987683138578568</v>
      </c>
      <c r="I133" s="261"/>
      <c r="J133" s="261"/>
      <c r="K133" s="261"/>
      <c r="N133" s="261"/>
      <c r="O133" s="261"/>
    </row>
    <row r="134" spans="1:15" ht="27" customHeight="1">
      <c r="A134" s="261"/>
      <c r="D134" s="361">
        <v>24</v>
      </c>
      <c r="E134" s="450">
        <v>1.101</v>
      </c>
      <c r="F134" s="452">
        <f t="shared" si="0"/>
        <v>1.1010565537053743</v>
      </c>
      <c r="I134" s="261"/>
      <c r="J134" s="261"/>
      <c r="K134" s="261"/>
      <c r="N134" s="261"/>
      <c r="O134" s="261"/>
    </row>
    <row r="135" spans="1:15" ht="27" customHeight="1">
      <c r="A135" s="261"/>
      <c r="D135" s="361">
        <v>24.5</v>
      </c>
      <c r="E135" s="450">
        <v>1.103</v>
      </c>
      <c r="F135" s="452">
        <f t="shared" si="0"/>
        <v>1.1033532838059705</v>
      </c>
      <c r="I135" s="261"/>
      <c r="J135" s="261"/>
      <c r="K135" s="261"/>
      <c r="N135" s="261"/>
      <c r="O135" s="261"/>
    </row>
    <row r="136" spans="1:15" ht="27" customHeight="1">
      <c r="A136" s="261"/>
      <c r="D136" s="361">
        <v>25</v>
      </c>
      <c r="E136" s="450">
        <v>1.1060000000000001</v>
      </c>
      <c r="F136" s="452">
        <f t="shared" si="0"/>
        <v>1.1056585515006461</v>
      </c>
      <c r="I136" s="261"/>
      <c r="J136" s="261"/>
      <c r="K136" s="261"/>
      <c r="N136" s="261"/>
      <c r="O136" s="261"/>
    </row>
    <row r="137" spans="1:15" ht="27" customHeight="1">
      <c r="A137" s="261"/>
      <c r="D137" s="361">
        <v>25.5</v>
      </c>
      <c r="E137" s="450">
        <v>1.1080000000000001</v>
      </c>
      <c r="F137" s="452">
        <f t="shared" si="0"/>
        <v>1.107972404483017</v>
      </c>
      <c r="I137" s="261"/>
      <c r="J137" s="261"/>
      <c r="K137" s="261"/>
      <c r="N137" s="261"/>
      <c r="O137" s="261"/>
    </row>
    <row r="138" spans="1:15" ht="27" customHeight="1">
      <c r="A138" s="261"/>
      <c r="D138" s="361">
        <v>26</v>
      </c>
      <c r="E138" s="450">
        <v>1.1100000000000001</v>
      </c>
      <c r="F138" s="452">
        <f t="shared" si="0"/>
        <v>1.1102948908026036</v>
      </c>
      <c r="I138" s="261"/>
      <c r="J138" s="261"/>
      <c r="K138" s="261"/>
      <c r="N138" s="261"/>
      <c r="O138" s="261"/>
    </row>
    <row r="139" spans="1:15" ht="27" customHeight="1">
      <c r="A139" s="261"/>
      <c r="D139" s="361">
        <v>26.5</v>
      </c>
      <c r="E139" s="450">
        <v>1.113</v>
      </c>
      <c r="F139" s="452">
        <f t="shared" si="0"/>
        <v>1.112626058868156</v>
      </c>
      <c r="I139" s="261"/>
      <c r="J139" s="261"/>
      <c r="K139" s="261"/>
      <c r="N139" s="261"/>
      <c r="O139" s="261"/>
    </row>
    <row r="140" spans="1:15" ht="27" customHeight="1">
      <c r="A140" s="261"/>
      <c r="D140" s="361">
        <v>27</v>
      </c>
      <c r="E140" s="450">
        <v>1.115</v>
      </c>
      <c r="F140" s="452">
        <f t="shared" si="0"/>
        <v>1.1149659574510189</v>
      </c>
      <c r="I140" s="261"/>
      <c r="J140" s="261"/>
      <c r="K140" s="261"/>
      <c r="N140" s="261"/>
      <c r="O140" s="261"/>
    </row>
    <row r="141" spans="1:15" ht="27" customHeight="1">
      <c r="A141" s="261"/>
      <c r="D141" s="361">
        <v>27.5</v>
      </c>
      <c r="E141" s="450">
        <v>1.117</v>
      </c>
      <c r="F141" s="452">
        <f t="shared" si="0"/>
        <v>1.1173146356885315</v>
      </c>
      <c r="I141" s="261"/>
      <c r="J141" s="261"/>
      <c r="K141" s="261"/>
      <c r="N141" s="261"/>
      <c r="O141" s="261"/>
    </row>
    <row r="142" spans="1:15" ht="27" customHeight="1">
      <c r="A142" s="261"/>
      <c r="D142" s="361">
        <v>28</v>
      </c>
      <c r="E142" s="450">
        <v>1.1200000000000001</v>
      </c>
      <c r="F142" s="452">
        <f t="shared" si="0"/>
        <v>1.1196721430874672</v>
      </c>
      <c r="I142" s="261"/>
      <c r="J142" s="261"/>
      <c r="K142" s="261"/>
      <c r="N142" s="261"/>
      <c r="O142" s="261"/>
    </row>
    <row r="143" spans="1:15" ht="27" customHeight="1">
      <c r="A143" s="261"/>
      <c r="D143" s="361">
        <v>28.5</v>
      </c>
      <c r="E143" s="450">
        <v>1.1220000000000001</v>
      </c>
      <c r="F143" s="452">
        <f t="shared" si="0"/>
        <v>1.122038529527513</v>
      </c>
      <c r="I143" s="261"/>
      <c r="J143" s="261"/>
      <c r="K143" s="261"/>
      <c r="N143" s="261"/>
      <c r="O143" s="261"/>
    </row>
    <row r="144" spans="1:15" ht="27" customHeight="1">
      <c r="A144" s="261"/>
      <c r="D144" s="361">
        <v>29</v>
      </c>
      <c r="E144" s="450">
        <v>1.1240000000000001</v>
      </c>
      <c r="F144" s="452">
        <f t="shared" si="0"/>
        <v>1.1244138452647869</v>
      </c>
      <c r="I144" s="261"/>
      <c r="J144" s="261"/>
      <c r="K144" s="261"/>
      <c r="N144" s="261"/>
      <c r="O144" s="261"/>
    </row>
    <row r="145" spans="1:15" ht="27" customHeight="1">
      <c r="A145" s="261"/>
      <c r="D145" s="361">
        <v>29.5</v>
      </c>
      <c r="E145" s="450">
        <v>1.127</v>
      </c>
      <c r="F145" s="452">
        <f t="shared" si="0"/>
        <v>1.1267981409353953</v>
      </c>
      <c r="I145" s="261"/>
      <c r="J145" s="261"/>
      <c r="K145" s="261"/>
      <c r="N145" s="261"/>
      <c r="O145" s="261"/>
    </row>
    <row r="146" spans="1:15" ht="27" customHeight="1">
      <c r="A146" s="261"/>
      <c r="D146" s="361">
        <v>30</v>
      </c>
      <c r="E146" s="450">
        <v>1.129</v>
      </c>
      <c r="F146" s="452">
        <f t="shared" si="0"/>
        <v>1.1291914675590318</v>
      </c>
      <c r="I146" s="261"/>
      <c r="J146" s="261"/>
      <c r="K146" s="261"/>
      <c r="N146" s="261"/>
      <c r="O146" s="261"/>
    </row>
    <row r="147" spans="1:15" ht="27" customHeight="1">
      <c r="A147" s="261"/>
      <c r="D147" s="361">
        <v>30.5</v>
      </c>
      <c r="E147" s="450">
        <v>1.1319999999999999</v>
      </c>
      <c r="F147" s="452">
        <f t="shared" si="0"/>
        <v>1.1315938765426157</v>
      </c>
      <c r="I147" s="261"/>
      <c r="J147" s="261"/>
      <c r="K147" s="261"/>
      <c r="N147" s="261"/>
      <c r="O147" s="261"/>
    </row>
    <row r="148" spans="1:15" ht="27" customHeight="1">
      <c r="A148" s="261"/>
      <c r="D148" s="361">
        <v>31</v>
      </c>
      <c r="E148" s="450">
        <v>1.1339999999999999</v>
      </c>
      <c r="F148" s="452">
        <f t="shared" si="0"/>
        <v>1.1340054196839735</v>
      </c>
      <c r="I148" s="261"/>
      <c r="J148" s="261"/>
      <c r="K148" s="261"/>
      <c r="N148" s="261"/>
      <c r="O148" s="261"/>
    </row>
    <row r="149" spans="1:15" ht="27" customHeight="1">
      <c r="A149" s="261"/>
      <c r="D149" s="361">
        <v>31.5</v>
      </c>
      <c r="E149" s="450">
        <v>1.1359999999999999</v>
      </c>
      <c r="F149" s="452">
        <f t="shared" si="0"/>
        <v>1.1364261491755605</v>
      </c>
      <c r="I149" s="261"/>
      <c r="J149" s="261"/>
      <c r="K149" s="261"/>
      <c r="N149" s="261"/>
      <c r="O149" s="261"/>
    </row>
    <row r="150" spans="1:15" ht="27" customHeight="1">
      <c r="A150" s="261"/>
      <c r="D150" s="361">
        <v>32</v>
      </c>
      <c r="E150" s="450">
        <v>1.139</v>
      </c>
      <c r="F150" s="452">
        <f t="shared" si="0"/>
        <v>1.1388561176082275</v>
      </c>
      <c r="I150" s="261"/>
      <c r="J150" s="261"/>
      <c r="K150" s="261"/>
      <c r="N150" s="261"/>
      <c r="O150" s="261"/>
    </row>
    <row r="151" spans="1:15" ht="27" customHeight="1">
      <c r="A151" s="261"/>
      <c r="D151" s="361">
        <v>32.5</v>
      </c>
      <c r="E151" s="450">
        <v>1.141</v>
      </c>
      <c r="F151" s="452">
        <f t="shared" si="0"/>
        <v>1.1412953779750283</v>
      </c>
      <c r="I151" s="261"/>
      <c r="J151" s="261"/>
      <c r="K151" s="261"/>
      <c r="N151" s="261"/>
      <c r="O151" s="261"/>
    </row>
    <row r="152" spans="1:15" ht="27" customHeight="1">
      <c r="A152" s="261"/>
      <c r="D152" s="361">
        <v>33</v>
      </c>
      <c r="E152" s="450">
        <v>1.1439999999999999</v>
      </c>
      <c r="F152" s="452">
        <f t="shared" ref="F152:F166" si="1">(D152/(258.6-((D152/258.2)*227.1))) + 1</f>
        <v>1.1437439836750725</v>
      </c>
      <c r="I152" s="261"/>
      <c r="J152" s="261"/>
      <c r="K152" s="261"/>
      <c r="N152" s="261"/>
      <c r="O152" s="261"/>
    </row>
    <row r="153" spans="1:15" ht="27" customHeight="1">
      <c r="A153" s="261"/>
      <c r="D153" s="361">
        <v>33.5</v>
      </c>
      <c r="E153" s="450">
        <v>1.1459999999999999</v>
      </c>
      <c r="F153" s="452">
        <f t="shared" si="1"/>
        <v>1.1462019885174215</v>
      </c>
      <c r="I153" s="261"/>
      <c r="J153" s="261"/>
      <c r="K153" s="261"/>
      <c r="N153" s="261"/>
      <c r="O153" s="261"/>
    </row>
    <row r="154" spans="1:15" ht="27" customHeight="1">
      <c r="A154" s="261"/>
      <c r="D154" s="361">
        <v>34</v>
      </c>
      <c r="E154" s="450">
        <v>1.149</v>
      </c>
      <c r="F154" s="452">
        <f t="shared" si="1"/>
        <v>1.1486694467250316</v>
      </c>
      <c r="I154" s="261"/>
      <c r="J154" s="261"/>
      <c r="K154" s="261"/>
      <c r="N154" s="261"/>
      <c r="O154" s="261"/>
    </row>
    <row r="155" spans="1:15" ht="27" customHeight="1">
      <c r="A155" s="261"/>
      <c r="D155" s="361">
        <v>34.5</v>
      </c>
      <c r="E155" s="450">
        <v>1.151</v>
      </c>
      <c r="F155" s="452">
        <f t="shared" si="1"/>
        <v>1.1511464129387396</v>
      </c>
      <c r="I155" s="261"/>
      <c r="J155" s="261"/>
      <c r="K155" s="261"/>
      <c r="N155" s="261"/>
      <c r="O155" s="261"/>
    </row>
    <row r="156" spans="1:15" ht="27" customHeight="1">
      <c r="A156" s="261"/>
      <c r="D156" s="361">
        <v>35</v>
      </c>
      <c r="E156" s="450">
        <v>1.1539999999999999</v>
      </c>
      <c r="F156" s="452">
        <f t="shared" si="1"/>
        <v>1.1536329422212974</v>
      </c>
      <c r="I156" s="261"/>
      <c r="J156" s="261"/>
      <c r="K156" s="261"/>
      <c r="N156" s="261"/>
      <c r="O156" s="261"/>
    </row>
    <row r="157" spans="1:15" ht="27" customHeight="1">
      <c r="A157" s="261"/>
      <c r="D157" s="361">
        <v>35.5</v>
      </c>
      <c r="E157" s="450">
        <v>1.1559999999999999</v>
      </c>
      <c r="F157" s="452">
        <f t="shared" si="1"/>
        <v>1.1561290900614511</v>
      </c>
      <c r="I157" s="261"/>
      <c r="J157" s="261"/>
      <c r="K157" s="261"/>
      <c r="N157" s="261"/>
      <c r="O157" s="261"/>
    </row>
    <row r="158" spans="1:15" ht="27" customHeight="1">
      <c r="A158" s="261"/>
      <c r="D158" s="361">
        <v>36</v>
      </c>
      <c r="E158" s="450">
        <v>1.159</v>
      </c>
      <c r="F158" s="452">
        <f t="shared" si="1"/>
        <v>1.1586349123780697</v>
      </c>
      <c r="I158" s="261"/>
      <c r="J158" s="261"/>
      <c r="K158" s="261"/>
      <c r="N158" s="261"/>
      <c r="O158" s="261"/>
    </row>
    <row r="159" spans="1:15" ht="27" customHeight="1">
      <c r="A159" s="261"/>
      <c r="D159" s="361">
        <v>36.5</v>
      </c>
      <c r="E159" s="450">
        <v>1.161</v>
      </c>
      <c r="F159" s="452">
        <f t="shared" si="1"/>
        <v>1.1611504655243199</v>
      </c>
      <c r="I159" s="261"/>
      <c r="J159" s="261"/>
      <c r="K159" s="261"/>
      <c r="N159" s="261"/>
      <c r="O159" s="261"/>
    </row>
    <row r="160" spans="1:15" ht="27" customHeight="1">
      <c r="A160" s="261"/>
      <c r="D160" s="361">
        <v>37</v>
      </c>
      <c r="E160" s="450">
        <v>1.1639999999999999</v>
      </c>
      <c r="F160" s="452">
        <f t="shared" si="1"/>
        <v>1.1636758062918917</v>
      </c>
      <c r="I160" s="261"/>
      <c r="J160" s="261"/>
      <c r="K160" s="261"/>
      <c r="N160" s="261"/>
      <c r="O160" s="261"/>
    </row>
    <row r="161" spans="1:15" ht="27" customHeight="1">
      <c r="A161" s="261"/>
      <c r="D161" s="361">
        <v>37.5</v>
      </c>
      <c r="E161" s="450">
        <v>1.1659999999999999</v>
      </c>
      <c r="F161" s="452">
        <f t="shared" si="1"/>
        <v>1.1662109919152708</v>
      </c>
      <c r="I161" s="261"/>
      <c r="J161" s="261"/>
      <c r="K161" s="261"/>
      <c r="N161" s="261"/>
      <c r="O161" s="261"/>
    </row>
    <row r="162" spans="1:15" ht="27" customHeight="1">
      <c r="A162" s="261"/>
      <c r="D162" s="361">
        <v>38</v>
      </c>
      <c r="E162" s="450">
        <v>1.169</v>
      </c>
      <c r="F162" s="452">
        <f t="shared" si="1"/>
        <v>1.1687560800760637</v>
      </c>
      <c r="I162" s="261"/>
      <c r="J162" s="261"/>
      <c r="K162" s="261"/>
      <c r="N162" s="261"/>
      <c r="O162" s="261"/>
    </row>
    <row r="163" spans="1:15" ht="27" customHeight="1">
      <c r="A163" s="261"/>
      <c r="D163" s="361">
        <v>38.5</v>
      </c>
      <c r="E163" s="450">
        <v>1.171</v>
      </c>
      <c r="F163" s="452">
        <f t="shared" si="1"/>
        <v>1.1713111289073721</v>
      </c>
      <c r="I163" s="261"/>
      <c r="J163" s="261"/>
      <c r="K163" s="261"/>
      <c r="N163" s="261"/>
      <c r="O163" s="261"/>
    </row>
    <row r="164" spans="1:15" ht="27" customHeight="1">
      <c r="A164" s="261"/>
      <c r="D164" s="361">
        <v>39</v>
      </c>
      <c r="E164" s="450">
        <v>1.1739999999999999</v>
      </c>
      <c r="F164" s="452">
        <f t="shared" si="1"/>
        <v>1.173876196998219</v>
      </c>
      <c r="I164" s="261"/>
      <c r="J164" s="261"/>
      <c r="K164" s="261"/>
      <c r="N164" s="261"/>
      <c r="O164" s="261"/>
    </row>
    <row r="165" spans="1:15" ht="27" customHeight="1">
      <c r="A165" s="261"/>
      <c r="D165" s="361">
        <v>39.5</v>
      </c>
      <c r="E165" s="450">
        <v>1.1759999999999999</v>
      </c>
      <c r="F165" s="452">
        <f t="shared" si="1"/>
        <v>1.176451343398027</v>
      </c>
      <c r="I165" s="261"/>
      <c r="J165" s="261"/>
      <c r="K165" s="261"/>
      <c r="N165" s="261"/>
      <c r="O165" s="261"/>
    </row>
    <row r="166" spans="1:15" ht="27" customHeight="1">
      <c r="A166" s="261"/>
      <c r="D166" s="361">
        <v>40</v>
      </c>
      <c r="E166" s="450">
        <v>1.179</v>
      </c>
      <c r="F166" s="452">
        <f t="shared" si="1"/>
        <v>1.1790366276211497</v>
      </c>
      <c r="I166" s="261"/>
      <c r="J166" s="261"/>
      <c r="K166" s="261"/>
      <c r="N166" s="261"/>
      <c r="O166" s="261"/>
    </row>
    <row r="167" spans="1:15" ht="27" customHeight="1">
      <c r="E167" s="462"/>
    </row>
  </sheetData>
  <mergeCells count="3">
    <mergeCell ref="B57:E57"/>
    <mergeCell ref="B58:D58"/>
    <mergeCell ref="D85:E85"/>
  </mergeCells>
  <conditionalFormatting sqref="E58">
    <cfRule type="expression" dxfId="28" priority="5">
      <formula>$E$58=0</formula>
    </cfRule>
  </conditionalFormatting>
  <conditionalFormatting sqref="E39">
    <cfRule type="expression" dxfId="27" priority="3">
      <formula>$D$39=0</formula>
    </cfRule>
  </conditionalFormatting>
  <conditionalFormatting sqref="E40">
    <cfRule type="expression" dxfId="26" priority="2">
      <formula>$D$40=0</formula>
    </cfRule>
  </conditionalFormatting>
  <conditionalFormatting sqref="E41">
    <cfRule type="expression" dxfId="25" priority="1">
      <formula>$D$41=0</formula>
    </cfRule>
  </conditionalFormatting>
  <conditionalFormatting sqref="E49:E50">
    <cfRule type="expression" dxfId="24" priority="9">
      <formula>$E$48=0</formula>
    </cfRule>
  </conditionalFormatting>
  <hyperlinks>
    <hyperlink ref="B72" r:id="rId1"/>
    <hyperlink ref="B71" r:id="rId2"/>
    <hyperlink ref="B22" r:id="rId3" display="Капачки"/>
    <hyperlink ref="B23" r:id="rId4"/>
    <hyperlink ref="H22" r:id="rId5"/>
    <hyperlink ref="B19" r:id="rId6" display="Safbrew WB-06"/>
    <hyperlink ref="B12" r:id="rId7"/>
    <hyperlink ref="B13" r:id="rId8" display="Wheat Malt"/>
    <hyperlink ref="B16" r:id="rId9"/>
    <hyperlink ref="B2" r:id="rId10" display="Wit bier"/>
  </hyperlinks>
  <printOptions horizontalCentered="1"/>
  <pageMargins left="0.23622047244094491" right="0.23622047244094491" top="0.23622047244094491" bottom="0.11811023622047245" header="0.31496062992125984" footer="0.31496062992125984"/>
  <pageSetup paperSize="9"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Начало</vt:lpstr>
      <vt:lpstr>Теория</vt:lpstr>
      <vt:lpstr>Brix &gt; SG</vt:lpstr>
      <vt:lpstr>Пивоварите</vt:lpstr>
      <vt:lpstr>Вайцен</vt:lpstr>
      <vt:lpstr>Раух</vt:lpstr>
      <vt:lpstr>в8 Компромат</vt:lpstr>
      <vt:lpstr>в9 Yassno Pivo </vt:lpstr>
      <vt:lpstr>в10 wit bier</vt:lpstr>
      <vt:lpstr>в11 wit bier</vt:lpstr>
      <vt:lpstr>в12 Компромат 5kg</vt:lpstr>
      <vt:lpstr>в13 Раух</vt:lpstr>
      <vt:lpstr>в14 Dunkelweizen</vt:lpstr>
      <vt:lpstr>в15 Staut</vt:lpstr>
      <vt:lpstr>Sheet1</vt:lpstr>
      <vt:lpstr>в16 Saison</vt:lpstr>
      <vt:lpstr>Hefeweizen</vt:lpstr>
      <vt:lpstr>Irish Red</vt:lpstr>
      <vt:lpstr>'Brix &gt; SG'!Excel_BuiltIn_Print_Area_1</vt:lpstr>
      <vt:lpstr>Hefeweizen!Excel_BuiltIn_Print_Area_1</vt:lpstr>
      <vt:lpstr>'Irish Red'!Excel_BuiltIn_Print_Area_1</vt:lpstr>
      <vt:lpstr>'в16 Saison'!Excel_BuiltIn_Print_Area_1</vt:lpstr>
      <vt:lpstr>Excel_BuiltIn_Print_Area_1</vt:lpstr>
      <vt:lpstr>Hefeweizen!Print_Area</vt:lpstr>
      <vt:lpstr>'Irish Red'!Print_Area</vt:lpstr>
      <vt:lpstr>'в10 wit bier'!Print_Area</vt:lpstr>
      <vt:lpstr>'в11 wit bier'!Print_Area</vt:lpstr>
      <vt:lpstr>'в12 Компромат 5kg'!Print_Area</vt:lpstr>
      <vt:lpstr>'в13 Раух'!Print_Area</vt:lpstr>
      <vt:lpstr>'в14 Dunkelweizen'!Print_Area</vt:lpstr>
      <vt:lpstr>'в16 Saison'!Print_Area</vt:lpstr>
      <vt:lpstr>'в8 Компромат'!Print_Area</vt:lpstr>
      <vt:lpstr>'в9 Yassno Pivo '!Print_Area</vt:lpstr>
      <vt:lpstr>Вайцен!Print_Area</vt:lpstr>
      <vt:lpstr>Раух!Print_Area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2016-12-19T10:27:02Z</dcterms:modified>
</cp:coreProperties>
</file>